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/>
  <mc:AlternateContent xmlns:mc="http://schemas.openxmlformats.org/markup-compatibility/2006">
    <mc:Choice Requires="x15">
      <x15ac:absPath xmlns:x15ac="http://schemas.microsoft.com/office/spreadsheetml/2010/11/ac" url="/Users/gleisson/Library/Mobile Documents/com~apple~CloudDocs/"/>
    </mc:Choice>
  </mc:AlternateContent>
  <xr:revisionPtr revIDLastSave="0" documentId="8_{ADAF4D51-8875-0949-8808-0312CAC9AD52}" xr6:coauthVersionLast="47" xr6:coauthVersionMax="47" xr10:uidLastSave="{00000000-0000-0000-0000-000000000000}"/>
  <bookViews>
    <workbookView xWindow="0" yWindow="660" windowWidth="26360" windowHeight="15920" tabRatio="500" firstSheet="1" activeTab="1" xr2:uid="{00000000-000D-0000-FFFF-FFFF00000000}"/>
  </bookViews>
  <sheets>
    <sheet name="README" sheetId="1" r:id="rId1"/>
    <sheet name="Assumptions" sheetId="2" r:id="rId2"/>
    <sheet name="Property Sales" sheetId="3" r:id="rId3"/>
    <sheet name="AI Agent" sheetId="4" r:id="rId4"/>
    <sheet name="RWA" sheetId="5" r:id="rId5"/>
    <sheet name="P&amp;L" sheetId="6" r:id="rId6"/>
    <sheet name="Cash Flow" sheetId="7" r:id="rId7"/>
    <sheet name="Headcount" sheetId="8" r:id="rId8"/>
    <sheet name="Cap Table" sheetId="9" r:id="rId9"/>
    <sheet name="Scenarios" sheetId="10" r:id="rId10"/>
    <sheet name="Valuation Walk" sheetId="11" r:id="rId11"/>
    <sheet name="Sensitivity" sheetId="12" r:id="rId12"/>
    <sheet name="KPI Dashboard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30" i="13" l="1"/>
  <c r="B23" i="13"/>
  <c r="B20" i="13"/>
  <c r="B19" i="13"/>
  <c r="B18" i="13"/>
  <c r="B17" i="13"/>
  <c r="B16" i="13"/>
  <c r="B15" i="13"/>
  <c r="B14" i="13"/>
  <c r="B13" i="13"/>
  <c r="G10" i="12"/>
  <c r="F9" i="12"/>
  <c r="G9" i="12" s="1"/>
  <c r="E9" i="12"/>
  <c r="D9" i="12"/>
  <c r="C9" i="12"/>
  <c r="B9" i="12"/>
  <c r="F8" i="12"/>
  <c r="G8" i="12" s="1"/>
  <c r="E8" i="12"/>
  <c r="D8" i="12"/>
  <c r="C8" i="12"/>
  <c r="B8" i="12"/>
  <c r="F7" i="12"/>
  <c r="G7" i="12" s="1"/>
  <c r="E7" i="12"/>
  <c r="D7" i="12"/>
  <c r="C7" i="12"/>
  <c r="B7" i="12"/>
  <c r="G6" i="12"/>
  <c r="B14" i="11"/>
  <c r="E11" i="10"/>
  <c r="D11" i="10"/>
  <c r="C11" i="10"/>
  <c r="B11" i="10"/>
  <c r="B26" i="9"/>
  <c r="D26" i="9" s="1"/>
  <c r="F11" i="9" s="1"/>
  <c r="B25" i="9"/>
  <c r="D25" i="9" s="1"/>
  <c r="E10" i="9" s="1"/>
  <c r="F10" i="9" s="1"/>
  <c r="B24" i="9"/>
  <c r="D24" i="9" s="1"/>
  <c r="D9" i="9" s="1"/>
  <c r="E9" i="9" s="1"/>
  <c r="F9" i="9" s="1"/>
  <c r="C8" i="9"/>
  <c r="D8" i="9" s="1"/>
  <c r="E8" i="9" s="1"/>
  <c r="F8" i="9" s="1"/>
  <c r="C7" i="9"/>
  <c r="D7" i="9" s="1"/>
  <c r="E7" i="9" s="1"/>
  <c r="F7" i="9" s="1"/>
  <c r="B7" i="9"/>
  <c r="C6" i="9"/>
  <c r="B6" i="9"/>
  <c r="G14" i="8"/>
  <c r="G18" i="8" s="1"/>
  <c r="F14" i="8"/>
  <c r="F18" i="8" s="1"/>
  <c r="E14" i="8"/>
  <c r="E18" i="8" s="1"/>
  <c r="D14" i="8"/>
  <c r="D18" i="8" s="1"/>
  <c r="C14" i="8"/>
  <c r="C18" i="8" s="1"/>
  <c r="B14" i="8"/>
  <c r="B13" i="7"/>
  <c r="B5" i="7"/>
  <c r="Y18" i="6"/>
  <c r="X18" i="6"/>
  <c r="W18" i="6"/>
  <c r="V18" i="6"/>
  <c r="U18" i="6"/>
  <c r="T18" i="6"/>
  <c r="S18" i="6"/>
  <c r="R18" i="6"/>
  <c r="Q18" i="6"/>
  <c r="P18" i="6"/>
  <c r="O18" i="6"/>
  <c r="N18" i="6"/>
  <c r="AA18" i="6" s="1"/>
  <c r="M18" i="6"/>
  <c r="L18" i="6"/>
  <c r="K18" i="6"/>
  <c r="J18" i="6"/>
  <c r="I18" i="6"/>
  <c r="H18" i="6"/>
  <c r="G18" i="6"/>
  <c r="F18" i="6"/>
  <c r="E18" i="6"/>
  <c r="D18" i="6"/>
  <c r="C18" i="6"/>
  <c r="B18" i="6"/>
  <c r="Z18" i="6" s="1"/>
  <c r="Y17" i="6"/>
  <c r="X17" i="6"/>
  <c r="W17" i="6"/>
  <c r="V17" i="6"/>
  <c r="U17" i="6"/>
  <c r="T17" i="6"/>
  <c r="S17" i="6"/>
  <c r="R17" i="6"/>
  <c r="Q17" i="6"/>
  <c r="P17" i="6"/>
  <c r="O17" i="6"/>
  <c r="N17" i="6"/>
  <c r="AA17" i="6" s="1"/>
  <c r="M17" i="6"/>
  <c r="L17" i="6"/>
  <c r="K17" i="6"/>
  <c r="J17" i="6"/>
  <c r="I17" i="6"/>
  <c r="H17" i="6"/>
  <c r="G17" i="6"/>
  <c r="F17" i="6"/>
  <c r="E17" i="6"/>
  <c r="D17" i="6"/>
  <c r="C17" i="6"/>
  <c r="B17" i="6"/>
  <c r="Z17" i="6" s="1"/>
  <c r="Y16" i="6"/>
  <c r="X16" i="6"/>
  <c r="W16" i="6"/>
  <c r="V16" i="6"/>
  <c r="U16" i="6"/>
  <c r="T16" i="6"/>
  <c r="S16" i="6"/>
  <c r="R16" i="6"/>
  <c r="Q16" i="6"/>
  <c r="P16" i="6"/>
  <c r="O16" i="6"/>
  <c r="N16" i="6"/>
  <c r="AA16" i="6" s="1"/>
  <c r="M16" i="6"/>
  <c r="L16" i="6"/>
  <c r="K16" i="6"/>
  <c r="J16" i="6"/>
  <c r="I16" i="6"/>
  <c r="H16" i="6"/>
  <c r="G16" i="6"/>
  <c r="F16" i="6"/>
  <c r="E16" i="6"/>
  <c r="D16" i="6"/>
  <c r="C16" i="6"/>
  <c r="B16" i="6"/>
  <c r="Z16" i="6" s="1"/>
  <c r="Y15" i="6"/>
  <c r="X15" i="6"/>
  <c r="W15" i="6"/>
  <c r="V15" i="6"/>
  <c r="U15" i="6"/>
  <c r="T15" i="6"/>
  <c r="S15" i="6"/>
  <c r="R15" i="6"/>
  <c r="Q15" i="6"/>
  <c r="P15" i="6"/>
  <c r="O15" i="6"/>
  <c r="N15" i="6"/>
  <c r="AA15" i="6" s="1"/>
  <c r="M15" i="6"/>
  <c r="L15" i="6"/>
  <c r="K15" i="6"/>
  <c r="J15" i="6"/>
  <c r="I15" i="6"/>
  <c r="H15" i="6"/>
  <c r="G15" i="6"/>
  <c r="F15" i="6"/>
  <c r="E15" i="6"/>
  <c r="D15" i="6"/>
  <c r="C15" i="6"/>
  <c r="B15" i="6"/>
  <c r="Z15" i="6" s="1"/>
  <c r="Y14" i="6"/>
  <c r="X14" i="6"/>
  <c r="W14" i="6"/>
  <c r="V14" i="6"/>
  <c r="U14" i="6"/>
  <c r="T14" i="6"/>
  <c r="S14" i="6"/>
  <c r="R14" i="6"/>
  <c r="Q14" i="6"/>
  <c r="P14" i="6"/>
  <c r="O14" i="6"/>
  <c r="N14" i="6"/>
  <c r="AA14" i="6" s="1"/>
  <c r="M14" i="6"/>
  <c r="L14" i="6"/>
  <c r="K14" i="6"/>
  <c r="J14" i="6"/>
  <c r="I14" i="6"/>
  <c r="H14" i="6"/>
  <c r="G14" i="6"/>
  <c r="F14" i="6"/>
  <c r="E14" i="6"/>
  <c r="D14" i="6"/>
  <c r="C14" i="6"/>
  <c r="B14" i="6"/>
  <c r="Z14" i="6" s="1"/>
  <c r="Y12" i="6"/>
  <c r="X12" i="6"/>
  <c r="W12" i="6"/>
  <c r="V12" i="6"/>
  <c r="U12" i="6"/>
  <c r="T12" i="6"/>
  <c r="S12" i="6"/>
  <c r="R12" i="6"/>
  <c r="Q12" i="6"/>
  <c r="P12" i="6"/>
  <c r="O12" i="6"/>
  <c r="N12" i="6"/>
  <c r="M12" i="6"/>
  <c r="L12" i="6"/>
  <c r="K12" i="6"/>
  <c r="J12" i="6"/>
  <c r="I12" i="6"/>
  <c r="H12" i="6"/>
  <c r="G12" i="6"/>
  <c r="F12" i="6"/>
  <c r="E12" i="6"/>
  <c r="D12" i="6"/>
  <c r="C12" i="6"/>
  <c r="B12" i="6"/>
  <c r="Y10" i="5"/>
  <c r="X10" i="5"/>
  <c r="W10" i="5"/>
  <c r="V10" i="5"/>
  <c r="U10" i="5"/>
  <c r="T10" i="5"/>
  <c r="S10" i="5"/>
  <c r="R10" i="5"/>
  <c r="Q10" i="5"/>
  <c r="P10" i="5"/>
  <c r="O10" i="5"/>
  <c r="N10" i="5"/>
  <c r="M10" i="5"/>
  <c r="L10" i="5"/>
  <c r="K10" i="5"/>
  <c r="J10" i="5"/>
  <c r="I10" i="5"/>
  <c r="H10" i="5"/>
  <c r="G10" i="5"/>
  <c r="F10" i="5"/>
  <c r="E10" i="5"/>
  <c r="D10" i="5"/>
  <c r="C10" i="5"/>
  <c r="B10" i="5"/>
  <c r="Y9" i="5"/>
  <c r="X9" i="5"/>
  <c r="W9" i="5"/>
  <c r="V9" i="5"/>
  <c r="U9" i="5"/>
  <c r="T9" i="5"/>
  <c r="S9" i="5"/>
  <c r="Y5" i="5"/>
  <c r="Y6" i="5" s="1"/>
  <c r="Y7" i="5" s="1"/>
  <c r="Y8" i="5" s="1"/>
  <c r="Y11" i="5" s="1"/>
  <c r="Y8" i="6" s="1"/>
  <c r="X5" i="5"/>
  <c r="X6" i="5" s="1"/>
  <c r="X7" i="5" s="1"/>
  <c r="X8" i="5" s="1"/>
  <c r="X11" i="5" s="1"/>
  <c r="X8" i="6" s="1"/>
  <c r="W5" i="5"/>
  <c r="W6" i="5" s="1"/>
  <c r="W7" i="5" s="1"/>
  <c r="W8" i="5" s="1"/>
  <c r="W11" i="5" s="1"/>
  <c r="W8" i="6" s="1"/>
  <c r="V5" i="5"/>
  <c r="V6" i="5" s="1"/>
  <c r="V7" i="5" s="1"/>
  <c r="V8" i="5" s="1"/>
  <c r="V11" i="5" s="1"/>
  <c r="V8" i="6" s="1"/>
  <c r="U5" i="5"/>
  <c r="U6" i="5" s="1"/>
  <c r="U7" i="5" s="1"/>
  <c r="U8" i="5" s="1"/>
  <c r="U11" i="5" s="1"/>
  <c r="U8" i="6" s="1"/>
  <c r="T5" i="5"/>
  <c r="T6" i="5" s="1"/>
  <c r="T7" i="5" s="1"/>
  <c r="T8" i="5" s="1"/>
  <c r="T11" i="5" s="1"/>
  <c r="T8" i="6" s="1"/>
  <c r="S5" i="5"/>
  <c r="S6" i="5" s="1"/>
  <c r="S7" i="5" s="1"/>
  <c r="S8" i="5" s="1"/>
  <c r="S11" i="5" s="1"/>
  <c r="S8" i="6" s="1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Y6" i="4"/>
  <c r="X6" i="4"/>
  <c r="W6" i="4"/>
  <c r="V6" i="4"/>
  <c r="U6" i="4"/>
  <c r="T6" i="4"/>
  <c r="S6" i="4"/>
  <c r="R6" i="4"/>
  <c r="Q6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B17" i="11" l="1"/>
  <c r="B37" i="9"/>
  <c r="D6" i="9"/>
  <c r="C13" i="9"/>
  <c r="B13" i="9"/>
  <c r="AA12" i="6"/>
  <c r="Z12" i="6"/>
  <c r="R9" i="5"/>
  <c r="R6" i="5"/>
  <c r="R7" i="5" s="1"/>
  <c r="R8" i="5" s="1"/>
  <c r="R11" i="5" s="1"/>
  <c r="R8" i="6" s="1"/>
  <c r="Q6" i="5"/>
  <c r="Q7" i="5" s="1"/>
  <c r="Q8" i="5" s="1"/>
  <c r="Q11" i="5" s="1"/>
  <c r="Q8" i="6" s="1"/>
  <c r="Q9" i="5"/>
  <c r="P9" i="5"/>
  <c r="P6" i="5"/>
  <c r="P7" i="5" s="1"/>
  <c r="P8" i="5" s="1"/>
  <c r="P11" i="5" s="1"/>
  <c r="P8" i="6" s="1"/>
  <c r="O6" i="5"/>
  <c r="O7" i="5" s="1"/>
  <c r="O8" i="5" s="1"/>
  <c r="O9" i="5"/>
  <c r="N9" i="5"/>
  <c r="N6" i="5"/>
  <c r="N7" i="5" s="1"/>
  <c r="N8" i="5" s="1"/>
  <c r="N11" i="5" s="1"/>
  <c r="M6" i="5"/>
  <c r="M7" i="5" s="1"/>
  <c r="M8" i="5" s="1"/>
  <c r="M9" i="5"/>
  <c r="L6" i="5"/>
  <c r="L7" i="5" s="1"/>
  <c r="L8" i="5" s="1"/>
  <c r="L9" i="5"/>
  <c r="K6" i="5"/>
  <c r="K7" i="5" s="1"/>
  <c r="K8" i="5" s="1"/>
  <c r="K9" i="5"/>
  <c r="J6" i="5"/>
  <c r="J7" i="5" s="1"/>
  <c r="J8" i="5" s="1"/>
  <c r="J9" i="5"/>
  <c r="I6" i="5"/>
  <c r="I7" i="5" s="1"/>
  <c r="I8" i="5" s="1"/>
  <c r="I11" i="5" s="1"/>
  <c r="I8" i="6" s="1"/>
  <c r="I9" i="5"/>
  <c r="H6" i="5"/>
  <c r="H7" i="5" s="1"/>
  <c r="H8" i="5" s="1"/>
  <c r="H9" i="5"/>
  <c r="G6" i="5"/>
  <c r="G7" i="5" s="1"/>
  <c r="G8" i="5" s="1"/>
  <c r="G11" i="5" s="1"/>
  <c r="G8" i="6" s="1"/>
  <c r="G9" i="5"/>
  <c r="F6" i="5"/>
  <c r="F7" i="5" s="1"/>
  <c r="F8" i="5" s="1"/>
  <c r="F9" i="5"/>
  <c r="E6" i="5"/>
  <c r="E7" i="5" s="1"/>
  <c r="E8" i="5" s="1"/>
  <c r="E9" i="5"/>
  <c r="D6" i="5"/>
  <c r="D7" i="5" s="1"/>
  <c r="D8" i="5" s="1"/>
  <c r="D9" i="5"/>
  <c r="C6" i="5"/>
  <c r="C7" i="5" s="1"/>
  <c r="C8" i="5" s="1"/>
  <c r="C11" i="5" s="1"/>
  <c r="C8" i="6" s="1"/>
  <c r="C9" i="5"/>
  <c r="B6" i="5"/>
  <c r="B7" i="5" s="1"/>
  <c r="B8" i="5" s="1"/>
  <c r="B11" i="5" s="1"/>
  <c r="B9" i="5"/>
  <c r="Y7" i="4"/>
  <c r="Y7" i="6" s="1"/>
  <c r="Y8" i="4"/>
  <c r="X8" i="4"/>
  <c r="X7" i="4"/>
  <c r="X7" i="6" s="1"/>
  <c r="W8" i="4"/>
  <c r="W7" i="4"/>
  <c r="W7" i="6" s="1"/>
  <c r="V8" i="4"/>
  <c r="V7" i="4"/>
  <c r="V7" i="6" s="1"/>
  <c r="U8" i="4"/>
  <c r="U7" i="4"/>
  <c r="U7" i="6" s="1"/>
  <c r="T8" i="4"/>
  <c r="T7" i="4"/>
  <c r="T7" i="6" s="1"/>
  <c r="S8" i="4"/>
  <c r="S7" i="4"/>
  <c r="S7" i="6" s="1"/>
  <c r="R8" i="4"/>
  <c r="R7" i="4"/>
  <c r="R7" i="6" s="1"/>
  <c r="Q8" i="4"/>
  <c r="Q7" i="4"/>
  <c r="Q7" i="6" s="1"/>
  <c r="P8" i="4"/>
  <c r="P7" i="4"/>
  <c r="P7" i="6" s="1"/>
  <c r="O7" i="4"/>
  <c r="O7" i="6" s="1"/>
  <c r="O8" i="4"/>
  <c r="N8" i="4"/>
  <c r="N7" i="4"/>
  <c r="M7" i="4"/>
  <c r="M7" i="6" s="1"/>
  <c r="M8" i="4"/>
  <c r="L7" i="4"/>
  <c r="L7" i="6" s="1"/>
  <c r="L8" i="4"/>
  <c r="K7" i="4"/>
  <c r="K7" i="6" s="1"/>
  <c r="K8" i="4"/>
  <c r="J7" i="4"/>
  <c r="J7" i="6" s="1"/>
  <c r="J8" i="4"/>
  <c r="I7" i="4"/>
  <c r="I7" i="6" s="1"/>
  <c r="I8" i="4"/>
  <c r="H7" i="4"/>
  <c r="H7" i="6" s="1"/>
  <c r="H8" i="4"/>
  <c r="G7" i="4"/>
  <c r="G7" i="6" s="1"/>
  <c r="G8" i="4"/>
  <c r="F8" i="4"/>
  <c r="F7" i="4"/>
  <c r="F7" i="6" s="1"/>
  <c r="E8" i="4"/>
  <c r="E7" i="4"/>
  <c r="E7" i="6" s="1"/>
  <c r="D8" i="4"/>
  <c r="D7" i="4"/>
  <c r="D7" i="6" s="1"/>
  <c r="C7" i="4"/>
  <c r="C7" i="6" s="1"/>
  <c r="C8" i="4"/>
  <c r="B7" i="4"/>
  <c r="B8" i="4"/>
  <c r="B9" i="3"/>
  <c r="B10" i="3" s="1"/>
  <c r="B7" i="3"/>
  <c r="E6" i="9" l="1"/>
  <c r="D13" i="9"/>
  <c r="AA11" i="5"/>
  <c r="N8" i="6"/>
  <c r="AA8" i="6" s="1"/>
  <c r="D10" i="13" s="1"/>
  <c r="Z11" i="5"/>
  <c r="B8" i="6"/>
  <c r="AA7" i="4"/>
  <c r="N7" i="6"/>
  <c r="AA7" i="6" s="1"/>
  <c r="D9" i="13" s="1"/>
  <c r="E9" i="13" s="1"/>
  <c r="Z7" i="4"/>
  <c r="B7" i="6"/>
  <c r="Z7" i="6" s="1"/>
  <c r="C9" i="13" s="1"/>
  <c r="C7" i="3"/>
  <c r="C8" i="3" s="1"/>
  <c r="B8" i="3"/>
  <c r="B13" i="6"/>
  <c r="O11" i="5"/>
  <c r="O8" i="6" s="1"/>
  <c r="M11" i="5"/>
  <c r="M8" i="6" s="1"/>
  <c r="L11" i="5"/>
  <c r="L8" i="6" s="1"/>
  <c r="K11" i="5"/>
  <c r="K8" i="6" s="1"/>
  <c r="J11" i="5"/>
  <c r="J8" i="6" s="1"/>
  <c r="F11" i="5"/>
  <c r="F8" i="6" s="1"/>
  <c r="E11" i="5"/>
  <c r="E8" i="6" s="1"/>
  <c r="D11" i="5"/>
  <c r="D8" i="6" s="1"/>
  <c r="H11" i="5"/>
  <c r="H8" i="6" s="1"/>
  <c r="C9" i="3"/>
  <c r="C10" i="3" s="1"/>
  <c r="C13" i="6" s="1"/>
  <c r="C19" i="6" s="1"/>
  <c r="C7" i="7" s="1"/>
  <c r="D9" i="3"/>
  <c r="F6" i="9" l="1"/>
  <c r="E13" i="9"/>
  <c r="E5" i="3"/>
  <c r="D10" i="3"/>
  <c r="D7" i="3"/>
  <c r="C11" i="3"/>
  <c r="C6" i="6"/>
  <c r="C9" i="6" s="1"/>
  <c r="B11" i="3"/>
  <c r="B6" i="6"/>
  <c r="B19" i="6"/>
  <c r="Z8" i="6"/>
  <c r="C10" i="13" s="1"/>
  <c r="B35" i="9" l="1"/>
  <c r="F13" i="9"/>
  <c r="B36" i="9"/>
  <c r="E9" i="3"/>
  <c r="E10" i="3" s="1"/>
  <c r="F5" i="3"/>
  <c r="E7" i="3"/>
  <c r="E8" i="3" s="1"/>
  <c r="D13" i="6"/>
  <c r="D8" i="3"/>
  <c r="C21" i="6"/>
  <c r="C6" i="7"/>
  <c r="C8" i="7" s="1"/>
  <c r="B9" i="6"/>
  <c r="B7" i="7"/>
  <c r="F9" i="3" l="1"/>
  <c r="F10" i="3" s="1"/>
  <c r="G5" i="3"/>
  <c r="F7" i="3"/>
  <c r="E11" i="3"/>
  <c r="E6" i="6"/>
  <c r="E9" i="6" s="1"/>
  <c r="D19" i="6"/>
  <c r="D11" i="3"/>
  <c r="D6" i="6"/>
  <c r="B21" i="6"/>
  <c r="B6" i="7"/>
  <c r="B8" i="7" s="1"/>
  <c r="B9" i="7" s="1"/>
  <c r="C5" i="7" s="1"/>
  <c r="C9" i="7" s="1"/>
  <c r="D5" i="7" s="1"/>
  <c r="E13" i="6"/>
  <c r="E19" i="6" s="1"/>
  <c r="E7" i="7" s="1"/>
  <c r="G7" i="3" l="1"/>
  <c r="H5" i="3"/>
  <c r="F8" i="3"/>
  <c r="E21" i="6"/>
  <c r="E6" i="7"/>
  <c r="E8" i="7" s="1"/>
  <c r="D7" i="7"/>
  <c r="D9" i="6"/>
  <c r="F13" i="6"/>
  <c r="G9" i="3"/>
  <c r="G10" i="3" s="1"/>
  <c r="H9" i="3" l="1"/>
  <c r="H10" i="3" s="1"/>
  <c r="I5" i="3"/>
  <c r="H7" i="3"/>
  <c r="F11" i="3"/>
  <c r="F6" i="6"/>
  <c r="D21" i="6"/>
  <c r="D6" i="7"/>
  <c r="D8" i="7" s="1"/>
  <c r="D9" i="7" s="1"/>
  <c r="E5" i="7" s="1"/>
  <c r="E9" i="7" s="1"/>
  <c r="F5" i="7" s="1"/>
  <c r="F19" i="6"/>
  <c r="F7" i="7" s="1"/>
  <c r="G8" i="3"/>
  <c r="G13" i="6"/>
  <c r="I9" i="3" l="1"/>
  <c r="I10" i="3" s="1"/>
  <c r="I13" i="6" s="1"/>
  <c r="I19" i="6" s="1"/>
  <c r="I7" i="7" s="1"/>
  <c r="J5" i="3"/>
  <c r="I7" i="3"/>
  <c r="I8" i="3" s="1"/>
  <c r="F9" i="6"/>
  <c r="G6" i="6"/>
  <c r="G11" i="3"/>
  <c r="H13" i="6"/>
  <c r="H8" i="3"/>
  <c r="G19" i="6"/>
  <c r="J9" i="3" l="1"/>
  <c r="J10" i="3" s="1"/>
  <c r="K5" i="3"/>
  <c r="J7" i="3"/>
  <c r="I11" i="3"/>
  <c r="I6" i="6"/>
  <c r="F21" i="6"/>
  <c r="F6" i="7"/>
  <c r="F8" i="7" s="1"/>
  <c r="F9" i="7" s="1"/>
  <c r="G5" i="7" s="1"/>
  <c r="H6" i="6"/>
  <c r="H9" i="6" s="1"/>
  <c r="H11" i="3"/>
  <c r="G7" i="7"/>
  <c r="G9" i="6"/>
  <c r="H19" i="6"/>
  <c r="H7" i="7" s="1"/>
  <c r="K9" i="3" l="1"/>
  <c r="K10" i="3" s="1"/>
  <c r="L5" i="3"/>
  <c r="K7" i="3"/>
  <c r="K8" i="3" s="1"/>
  <c r="J13" i="6"/>
  <c r="J8" i="3"/>
  <c r="H21" i="6"/>
  <c r="H6" i="7"/>
  <c r="H8" i="7" s="1"/>
  <c r="G6" i="7"/>
  <c r="G8" i="7" s="1"/>
  <c r="G9" i="7" s="1"/>
  <c r="H5" i="7" s="1"/>
  <c r="H9" i="7" s="1"/>
  <c r="I5" i="7" s="1"/>
  <c r="G21" i="6"/>
  <c r="I9" i="6"/>
  <c r="L9" i="3" l="1"/>
  <c r="L10" i="3" s="1"/>
  <c r="M5" i="3"/>
  <c r="L7" i="3"/>
  <c r="K11" i="3"/>
  <c r="K6" i="6"/>
  <c r="K9" i="6" s="1"/>
  <c r="J19" i="6"/>
  <c r="J11" i="3"/>
  <c r="J6" i="6"/>
  <c r="I6" i="7"/>
  <c r="I8" i="7" s="1"/>
  <c r="I9" i="7" s="1"/>
  <c r="J5" i="7" s="1"/>
  <c r="I21" i="6"/>
  <c r="K13" i="6"/>
  <c r="K19" i="6" s="1"/>
  <c r="K7" i="7" s="1"/>
  <c r="Z5" i="3" l="1"/>
  <c r="M9" i="3"/>
  <c r="M10" i="3" s="1"/>
  <c r="N5" i="3"/>
  <c r="M7" i="3"/>
  <c r="M8" i="3" s="1"/>
  <c r="Z7" i="3"/>
  <c r="L8" i="3"/>
  <c r="K21" i="6"/>
  <c r="K6" i="7"/>
  <c r="K8" i="7" s="1"/>
  <c r="J7" i="7"/>
  <c r="J9" i="6"/>
  <c r="L13" i="6"/>
  <c r="N9" i="3" l="1"/>
  <c r="N10" i="3" s="1"/>
  <c r="O5" i="3"/>
  <c r="N7" i="3"/>
  <c r="M11" i="3"/>
  <c r="M6" i="6"/>
  <c r="M9" i="6" s="1"/>
  <c r="Z8" i="3"/>
  <c r="L11" i="3"/>
  <c r="L6" i="6"/>
  <c r="J21" i="6"/>
  <c r="J6" i="7"/>
  <c r="J8" i="7" s="1"/>
  <c r="J9" i="7" s="1"/>
  <c r="K5" i="7" s="1"/>
  <c r="K9" i="7" s="1"/>
  <c r="L5" i="7" s="1"/>
  <c r="L19" i="6"/>
  <c r="M13" i="6"/>
  <c r="Z10" i="3"/>
  <c r="Z11" i="3" l="1"/>
  <c r="M19" i="6"/>
  <c r="Z13" i="6"/>
  <c r="O9" i="3"/>
  <c r="O10" i="3" s="1"/>
  <c r="O13" i="6" s="1"/>
  <c r="O19" i="6" s="1"/>
  <c r="O7" i="7" s="1"/>
  <c r="P5" i="3"/>
  <c r="O7" i="3"/>
  <c r="O8" i="3" s="1"/>
  <c r="N13" i="6"/>
  <c r="N8" i="3"/>
  <c r="M6" i="7"/>
  <c r="Z6" i="6"/>
  <c r="C8" i="13" s="1"/>
  <c r="L9" i="6"/>
  <c r="L7" i="7"/>
  <c r="M7" i="7" l="1"/>
  <c r="M8" i="7" s="1"/>
  <c r="M21" i="6"/>
  <c r="Z19" i="6"/>
  <c r="P9" i="3"/>
  <c r="P10" i="3" s="1"/>
  <c r="Q5" i="3"/>
  <c r="P7" i="3"/>
  <c r="O11" i="3"/>
  <c r="O6" i="6"/>
  <c r="O9" i="6" s="1"/>
  <c r="N19" i="6"/>
  <c r="N11" i="3"/>
  <c r="N6" i="6"/>
  <c r="Z9" i="6"/>
  <c r="L21" i="6"/>
  <c r="L6" i="7"/>
  <c r="L8" i="7" s="1"/>
  <c r="L9" i="7" s="1"/>
  <c r="M5" i="7" s="1"/>
  <c r="M9" i="7" s="1"/>
  <c r="N5" i="7" s="1"/>
  <c r="Z21" i="6" l="1"/>
  <c r="B24" i="13" s="1"/>
  <c r="Q9" i="3"/>
  <c r="Q10" i="3" s="1"/>
  <c r="Q13" i="6" s="1"/>
  <c r="Q19" i="6" s="1"/>
  <c r="Q7" i="7" s="1"/>
  <c r="R5" i="3"/>
  <c r="Q7" i="3"/>
  <c r="P13" i="6"/>
  <c r="P8" i="3"/>
  <c r="O21" i="6"/>
  <c r="O6" i="7"/>
  <c r="O8" i="7" s="1"/>
  <c r="N7" i="7"/>
  <c r="N9" i="6"/>
  <c r="C7" i="11"/>
  <c r="E7" i="11" s="1"/>
  <c r="C7" i="13"/>
  <c r="R9" i="3" l="1"/>
  <c r="R10" i="3" s="1"/>
  <c r="S5" i="3"/>
  <c r="R7" i="3"/>
  <c r="P19" i="6"/>
  <c r="P11" i="3"/>
  <c r="P6" i="6"/>
  <c r="N21" i="6"/>
  <c r="N6" i="7"/>
  <c r="N8" i="7" s="1"/>
  <c r="N9" i="7" s="1"/>
  <c r="O5" i="7" s="1"/>
  <c r="O9" i="7" s="1"/>
  <c r="P5" i="7" s="1"/>
  <c r="Q8" i="3"/>
  <c r="S9" i="3" l="1"/>
  <c r="S10" i="3" s="1"/>
  <c r="T5" i="3"/>
  <c r="S7" i="3"/>
  <c r="S8" i="3" s="1"/>
  <c r="R13" i="6"/>
  <c r="P7" i="7"/>
  <c r="P9" i="6"/>
  <c r="Q6" i="6"/>
  <c r="Q11" i="3"/>
  <c r="R8" i="3"/>
  <c r="T9" i="3" l="1"/>
  <c r="T10" i="3" s="1"/>
  <c r="U5" i="3"/>
  <c r="T7" i="3"/>
  <c r="S11" i="3"/>
  <c r="S6" i="6"/>
  <c r="S9" i="6" s="1"/>
  <c r="R19" i="6"/>
  <c r="P21" i="6"/>
  <c r="P6" i="7"/>
  <c r="P8" i="7" s="1"/>
  <c r="P9" i="7" s="1"/>
  <c r="Q5" i="7" s="1"/>
  <c r="R6" i="6"/>
  <c r="R9" i="6" s="1"/>
  <c r="R11" i="3"/>
  <c r="S13" i="6"/>
  <c r="S19" i="6" s="1"/>
  <c r="S7" i="7" s="1"/>
  <c r="Q9" i="6"/>
  <c r="U9" i="3" l="1"/>
  <c r="U10" i="3" s="1"/>
  <c r="V5" i="3"/>
  <c r="U7" i="3"/>
  <c r="U8" i="3" s="1"/>
  <c r="T8" i="3"/>
  <c r="S21" i="6"/>
  <c r="S6" i="7"/>
  <c r="S8" i="7" s="1"/>
  <c r="R7" i="7"/>
  <c r="R21" i="6"/>
  <c r="R6" i="7"/>
  <c r="R8" i="7" s="1"/>
  <c r="Q6" i="7"/>
  <c r="Q8" i="7" s="1"/>
  <c r="Q9" i="7" s="1"/>
  <c r="R5" i="7" s="1"/>
  <c r="R9" i="7" s="1"/>
  <c r="S5" i="7" s="1"/>
  <c r="S9" i="7" s="1"/>
  <c r="T5" i="7" s="1"/>
  <c r="Q21" i="6"/>
  <c r="T13" i="6"/>
  <c r="V9" i="3" l="1"/>
  <c r="V10" i="3" s="1"/>
  <c r="W5" i="3"/>
  <c r="V7" i="3"/>
  <c r="U11" i="3"/>
  <c r="U6" i="6"/>
  <c r="U9" i="6" s="1"/>
  <c r="T11" i="3"/>
  <c r="T6" i="6"/>
  <c r="T19" i="6"/>
  <c r="T7" i="7" s="1"/>
  <c r="U13" i="6"/>
  <c r="U19" i="6" s="1"/>
  <c r="W9" i="3" l="1"/>
  <c r="W10" i="3" s="1"/>
  <c r="X5" i="3"/>
  <c r="W7" i="3"/>
  <c r="W8" i="3" s="1"/>
  <c r="V8" i="3"/>
  <c r="U21" i="6"/>
  <c r="U6" i="7"/>
  <c r="T9" i="6"/>
  <c r="U7" i="7"/>
  <c r="V13" i="6"/>
  <c r="V19" i="6" s="1"/>
  <c r="V7" i="7" s="1"/>
  <c r="U8" i="7" l="1"/>
  <c r="X9" i="3"/>
  <c r="X10" i="3" s="1"/>
  <c r="Y5" i="3"/>
  <c r="AA5" i="3" s="1"/>
  <c r="X7" i="3"/>
  <c r="W11" i="3"/>
  <c r="W6" i="6"/>
  <c r="W9" i="6" s="1"/>
  <c r="V11" i="3"/>
  <c r="V6" i="6"/>
  <c r="T21" i="6"/>
  <c r="T6" i="7"/>
  <c r="T8" i="7" s="1"/>
  <c r="T9" i="7" s="1"/>
  <c r="U5" i="7" s="1"/>
  <c r="U9" i="7" s="1"/>
  <c r="V5" i="7" s="1"/>
  <c r="W13" i="6"/>
  <c r="Y9" i="3" l="1"/>
  <c r="Y10" i="3" s="1"/>
  <c r="Y7" i="3"/>
  <c r="X8" i="3"/>
  <c r="W6" i="7"/>
  <c r="V9" i="6"/>
  <c r="W19" i="6"/>
  <c r="W21" i="6" s="1"/>
  <c r="X13" i="6"/>
  <c r="Y8" i="3" l="1"/>
  <c r="AA7" i="3"/>
  <c r="X19" i="6"/>
  <c r="X7" i="7" s="1"/>
  <c r="AA13" i="6"/>
  <c r="Y11" i="3"/>
  <c r="Y6" i="6"/>
  <c r="Y9" i="6" s="1"/>
  <c r="AA8" i="3"/>
  <c r="X11" i="3"/>
  <c r="X6" i="6"/>
  <c r="V21" i="6"/>
  <c r="V6" i="7"/>
  <c r="V8" i="7" s="1"/>
  <c r="V9" i="7" s="1"/>
  <c r="W5" i="7" s="1"/>
  <c r="W7" i="7"/>
  <c r="W8" i="7" s="1"/>
  <c r="Y13" i="6"/>
  <c r="Y19" i="6" s="1"/>
  <c r="AA10" i="3"/>
  <c r="AA11" i="3" l="1"/>
  <c r="AA19" i="6"/>
  <c r="B15" i="7"/>
  <c r="Y21" i="6"/>
  <c r="Y6" i="7"/>
  <c r="AA6" i="6"/>
  <c r="D8" i="13" s="1"/>
  <c r="E8" i="13" s="1"/>
  <c r="X9" i="6"/>
  <c r="Y7" i="7"/>
  <c r="B14" i="7"/>
  <c r="W9" i="7"/>
  <c r="X5" i="7" s="1"/>
  <c r="AA9" i="6" l="1"/>
  <c r="X21" i="6"/>
  <c r="AA21" i="6" s="1"/>
  <c r="B25" i="13" s="1"/>
  <c r="X6" i="7"/>
  <c r="X8" i="7" s="1"/>
  <c r="X9" i="7" s="1"/>
  <c r="Y5" i="7" s="1"/>
  <c r="Y9" i="7" s="1"/>
  <c r="B17" i="7" s="1"/>
  <c r="B27" i="13" s="1"/>
  <c r="B16" i="7"/>
  <c r="Y8" i="7"/>
  <c r="C8" i="11" l="1"/>
  <c r="D7" i="13"/>
  <c r="E7" i="13" s="1"/>
  <c r="B26" i="13"/>
  <c r="B18" i="7"/>
  <c r="B19" i="7" s="1"/>
  <c r="E8" i="11" l="1"/>
  <c r="B31" i="13" s="1"/>
  <c r="C9" i="11"/>
  <c r="E9" i="11" l="1"/>
  <c r="C10" i="11"/>
  <c r="E10" i="11" s="1"/>
  <c r="B15" i="11" l="1"/>
  <c r="B32" i="13"/>
  <c r="B16" i="11" l="1"/>
  <c r="B18" i="11"/>
  <c r="B19" i="11" s="1"/>
  <c r="B33" i="13" s="1"/>
</calcChain>
</file>

<file path=xl/sharedStrings.xml><?xml version="1.0" encoding="utf-8"?>
<sst xmlns="http://schemas.openxmlformats.org/spreadsheetml/2006/main" count="480" uniqueCount="358">
  <si>
    <t>GLEMO — PRE-SEED FINANCIAL MODEL</t>
  </si>
  <si>
    <t>Confidential — for investor diligence (data room)</t>
  </si>
  <si>
    <t>VERSION</t>
  </si>
  <si>
    <t>v1.0 — April 2026</t>
  </si>
  <si>
    <t>ROUND</t>
  </si>
  <si>
    <t>USD 2,000,000 SAFE — Cap USD 10–12M, Discount 20%</t>
  </si>
  <si>
    <t>M0 (round close)</t>
  </si>
  <si>
    <t>July 2026</t>
  </si>
  <si>
    <t>HORIZON</t>
  </si>
  <si>
    <t>24-month P&amp;L (Jul/26 – Jun/28) + 36-month outlook</t>
  </si>
  <si>
    <t>SCENARIOS</t>
  </si>
  <si>
    <t>Base · Aggressive · Reactivation</t>
  </si>
  <si>
    <t>HOW TO USE</t>
  </si>
  <si>
    <t>1. Open 'Assumptions' tab</t>
  </si>
  <si>
    <t>All key drivers in one place. Edit blue cells only.</t>
  </si>
  <si>
    <t>2. Edit blue cells</t>
  </si>
  <si>
    <t>Inputs (yellow background = key assumptions to scrutinize)</t>
  </si>
  <si>
    <t>3. P&amp;L recalculates automatically</t>
  </si>
  <si>
    <t>All other tabs are formula-driven from Assumptions</t>
  </si>
  <si>
    <t>4. Compare scenarios</t>
  </si>
  <si>
    <t>Use 'Scenarios' tab for side-by-side</t>
  </si>
  <si>
    <t>COLOR CONVENTIONS</t>
  </si>
  <si>
    <t>Blue text</t>
  </si>
  <si>
    <t>Hardcoded inputs — editable assumptions</t>
  </si>
  <si>
    <t>Black text</t>
  </si>
  <si>
    <t>Formulas / calculations — do not edit</t>
  </si>
  <si>
    <t>Green text</t>
  </si>
  <si>
    <t>Cross-sheet links</t>
  </si>
  <si>
    <t>Yellow background</t>
  </si>
  <si>
    <t>Key assumptions needing scrutiny</t>
  </si>
  <si>
    <t>KEY DEFENSIBILITY POINTS</t>
  </si>
  <si>
    <t>Property Sales Y0 baseline</t>
  </si>
  <si>
    <t>USD 188K revenue from ~75 deals at USD 100K avg ticket</t>
  </si>
  <si>
    <t>AI Agent baseline</t>
  </si>
  <si>
    <t>1 client deployed (MRV), USD 200K ARR; 5 in qualified pipeline</t>
  </si>
  <si>
    <t>RWA baseline</t>
  </si>
  <si>
    <t>Pilot launch Q1 2027 with anchor banking partner</t>
  </si>
  <si>
    <t>Burn pre-round</t>
  </si>
  <si>
    <t>~USD 65K/month operational</t>
  </si>
  <si>
    <t>CONTACT</t>
  </si>
  <si>
    <t>Gleisson Herit — gleisson@glemo.co</t>
  </si>
  <si>
    <t>ASSUMPTIONS — ALL KEY DRIVERS</t>
  </si>
  <si>
    <t>Edit BLUE cells. YELLOW = key assumptions for scrutiny.</t>
  </si>
  <si>
    <t>Driver</t>
  </si>
  <si>
    <t>Base</t>
  </si>
  <si>
    <t>Aggressive</t>
  </si>
  <si>
    <t>Reactivation</t>
  </si>
  <si>
    <t>Note / source</t>
  </si>
  <si>
    <t>1. ROUND &amp; TIMING</t>
  </si>
  <si>
    <t>Round size (USD)</t>
  </si>
  <si>
    <t>SAFE</t>
  </si>
  <si>
    <t>Valuation cap (USD)</t>
  </si>
  <si>
    <t>USD 10–12M range</t>
  </si>
  <si>
    <t>Discount</t>
  </si>
  <si>
    <t>SAFE discount on next round</t>
  </si>
  <si>
    <t>Jul/26</t>
  </si>
  <si>
    <t>Month 1 of horizon</t>
  </si>
  <si>
    <t>2. PROPERTY SALES</t>
  </si>
  <si>
    <t>Y0 deals (last 12mo)</t>
  </si>
  <si>
    <t>Source: operational baseline</t>
  </si>
  <si>
    <t>Y0 ticket (USD)</t>
  </si>
  <si>
    <t>MRV-anchored</t>
  </si>
  <si>
    <t>Commission rate</t>
  </si>
  <si>
    <t>Validated per-transaction</t>
  </si>
  <si>
    <t>Monthly growth rate (MoM)</t>
  </si>
  <si>
    <t>Base aligned with slide 13</t>
  </si>
  <si>
    <t>Reactivation incremental deals (Y2)</t>
  </si>
  <si>
    <t>Warm-converted Y1 leads, Y2 only</t>
  </si>
  <si>
    <t>CAC tier 1 (first 100 deals)</t>
  </si>
  <si>
    <t>Current efficiency</t>
  </si>
  <si>
    <t>CAC tier 2 (deals 101–300)</t>
  </si>
  <si>
    <t>Scale efficiency loss</t>
  </si>
  <si>
    <t>CAC tier 3 (deals 301+)</t>
  </si>
  <si>
    <t>Channel saturation</t>
  </si>
  <si>
    <t>3. AI AGENT (Enterprise Sales)</t>
  </si>
  <si>
    <t>Active clients today</t>
  </si>
  <si>
    <t>MRV deployed in production</t>
  </si>
  <si>
    <t>Pipeline qualified</t>
  </si>
  <si>
    <t>Available in advanced diligence (NDA)</t>
  </si>
  <si>
    <t>Avg ticket (USD/yr)</t>
  </si>
  <si>
    <t>Enterprise tier</t>
  </si>
  <si>
    <t>CAC per closed client (USD)</t>
  </si>
  <si>
    <t>USD 5K effort × 20% conv = USD 25K CAC</t>
  </si>
  <si>
    <t>Months to first new close (after M0)</t>
  </si>
  <si>
    <t>1st pipeline client in advanced talks</t>
  </si>
  <si>
    <t>Cadence: months between closes</t>
  </si>
  <si>
    <t>Steady ramp</t>
  </si>
  <si>
    <t>Y2 closed clients target (cumulative)</t>
  </si>
  <si>
    <t>Y2 ARR target</t>
  </si>
  <si>
    <t>Gross margin</t>
  </si>
  <si>
    <t>High-margin SaaS</t>
  </si>
  <si>
    <t>4. RWA LIQUIDITY LAYER</t>
  </si>
  <si>
    <t>RWA pilot launch month (after M0)</t>
  </si>
  <si>
    <t>Q1 2027 launch</t>
  </si>
  <si>
    <t>Users acquired Y1 post-launch</t>
  </si>
  <si>
    <t>50K Base / 66K Aggressive</t>
  </si>
  <si>
    <t>ARPU per user (USD)</t>
  </si>
  <si>
    <t>Initial GMV per user</t>
  </si>
  <si>
    <t>CAC per user (USD)</t>
  </si>
  <si>
    <t>USD 200K spend / 66K users</t>
  </si>
  <si>
    <t>Tx per user / year</t>
  </si>
  <si>
    <t>Modelled cadence</t>
  </si>
  <si>
    <t>Tokenization fee</t>
  </si>
  <si>
    <t>0.5% on initial GMV</t>
  </si>
  <si>
    <t>Network fee per tx (USD)</t>
  </si>
  <si>
    <t>Recurring per transaction</t>
  </si>
  <si>
    <t>Services remuneration (annual)</t>
  </si>
  <si>
    <t>1.5% on GMV / yr</t>
  </si>
  <si>
    <t>Glemo share (split with bank)</t>
  </si>
  <si>
    <t>50/50 platform-bank split</t>
  </si>
  <si>
    <t>5. COSTS &amp; TEAM</t>
  </si>
  <si>
    <t>Burn pre-round (USD/month)</t>
  </si>
  <si>
    <t>Current operational fixed</t>
  </si>
  <si>
    <t>Team budget (24 months total)</t>
  </si>
  <si>
    <t>40% of round</t>
  </si>
  <si>
    <t>Property sales budget (24mo)</t>
  </si>
  <si>
    <t>25% of round</t>
  </si>
  <si>
    <t>AI Agent sales budget (24mo)</t>
  </si>
  <si>
    <t>10% of round</t>
  </si>
  <si>
    <t>RWA acquisition budget (24mo)</t>
  </si>
  <si>
    <t>Infrastructure budget (24mo)</t>
  </si>
  <si>
    <t>5% of round</t>
  </si>
  <si>
    <t>Marketing budget (24mo)</t>
  </si>
  <si>
    <t>Events &amp; buffer (24mo)</t>
  </si>
  <si>
    <t>PROPERTY SALES — MONTHLY PROJECTION (24 MONTHS)</t>
  </si>
  <si>
    <t>Base scenario shown. Edit Assumptions tab to update.</t>
  </si>
  <si>
    <t>Metric</t>
  </si>
  <si>
    <t>Aug/26</t>
  </si>
  <si>
    <t>Sep/26</t>
  </si>
  <si>
    <t>Oct/26</t>
  </si>
  <si>
    <t>Nov/26</t>
  </si>
  <si>
    <t>Dec/26</t>
  </si>
  <si>
    <t>Jan/27</t>
  </si>
  <si>
    <t>Feb/27</t>
  </si>
  <si>
    <t>Mar/27</t>
  </si>
  <si>
    <t>Apr/27</t>
  </si>
  <si>
    <t>May/27</t>
  </si>
  <si>
    <t>Jun/27</t>
  </si>
  <si>
    <t>Jul/27</t>
  </si>
  <si>
    <t>Aug/27</t>
  </si>
  <si>
    <t>Sep/27</t>
  </si>
  <si>
    <t>Oct/27</t>
  </si>
  <si>
    <t>Nov/27</t>
  </si>
  <si>
    <t>Dec/27</t>
  </si>
  <si>
    <t>Jan/28</t>
  </si>
  <si>
    <t>Feb/28</t>
  </si>
  <si>
    <t>Mar/28</t>
  </si>
  <si>
    <t>Apr/28</t>
  </si>
  <si>
    <t>May/28</t>
  </si>
  <si>
    <t>Jun/28</t>
  </si>
  <si>
    <t>Y1 Total</t>
  </si>
  <si>
    <t>Y2 Total</t>
  </si>
  <si>
    <t>Deals closed</t>
  </si>
  <si>
    <t>Avg ticket (USD)</t>
  </si>
  <si>
    <t>GMV intermediated</t>
  </si>
  <si>
    <t>Revenue (commission 2.5%)</t>
  </si>
  <si>
    <t>CAC blended (USD)</t>
  </si>
  <si>
    <t>Sales spend (CAC × deals)</t>
  </si>
  <si>
    <t>Contribution (revenue - sales spend)</t>
  </si>
  <si>
    <t>AI AGENT — MONTHLY PROJECTION (24 MONTHS)</t>
  </si>
  <si>
    <t>Active clients (cumulative)</t>
  </si>
  <si>
    <t>Avg ticket (USD/month per client)</t>
  </si>
  <si>
    <t>Revenue</t>
  </si>
  <si>
    <t>ARR (exit run-rate)</t>
  </si>
  <si>
    <t>RWA LIQUIDITY LAYER — POST-LAUNCH PROJECTION</t>
  </si>
  <si>
    <t>Pilot launch month: M9 (Q1 2027). Revenue starts after launch.</t>
  </si>
  <si>
    <t>Cumulative users</t>
  </si>
  <si>
    <t>New users this month</t>
  </si>
  <si>
    <t>Initial GMV tokenized (new users × ARPU)</t>
  </si>
  <si>
    <t>Tokenization fee revenue (Glemo)</t>
  </si>
  <si>
    <t>Network fee revenue (Glemo)</t>
  </si>
  <si>
    <t>Services remuneration (Glemo)</t>
  </si>
  <si>
    <t>Total RWA revenue (Glemo)</t>
  </si>
  <si>
    <t>CONSOLIDATED P&amp;L — 24 MONTHS</t>
  </si>
  <si>
    <t>REVENUE</t>
  </si>
  <si>
    <t>Property Sales</t>
  </si>
  <si>
    <t>AI Agent</t>
  </si>
  <si>
    <t>RWA</t>
  </si>
  <si>
    <t>TOTAL REVENUE</t>
  </si>
  <si>
    <t>COSTS</t>
  </si>
  <si>
    <t>Team (Salaries + benefits)</t>
  </si>
  <si>
    <t>Property Sales spend</t>
  </si>
  <si>
    <t>AI Agent sales spend</t>
  </si>
  <si>
    <t>RWA user acquisition (CAC)</t>
  </si>
  <si>
    <t>Infrastructure &amp; Software</t>
  </si>
  <si>
    <t>Marketing &amp; PR</t>
  </si>
  <si>
    <t>Events &amp; buffer</t>
  </si>
  <si>
    <t>TOTAL COSTS</t>
  </si>
  <si>
    <t>EBITDA (Revenue - Costs)</t>
  </si>
  <si>
    <t>CASH FLOW &amp; RUNWAY</t>
  </si>
  <si>
    <t>Opening cash</t>
  </si>
  <si>
    <t>Cash in (revenue)</t>
  </si>
  <si>
    <t>Cash out (costs)</t>
  </si>
  <si>
    <t>Net cash flow</t>
  </si>
  <si>
    <t>Closing cash</t>
  </si>
  <si>
    <t>RUNWAY SUMMARY</t>
  </si>
  <si>
    <t>Round size</t>
  </si>
  <si>
    <t>Total cash burn (24mo)</t>
  </si>
  <si>
    <t>Total revenue (24mo)</t>
  </si>
  <si>
    <t>Net burn (24mo)</t>
  </si>
  <si>
    <t>Closing cash (M24)</t>
  </si>
  <si>
    <t>Avg monthly burn</t>
  </si>
  <si>
    <t>Implied runway (months)</t>
  </si>
  <si>
    <t>HEADCOUNT PLAN</t>
  </si>
  <si>
    <t>Current team: 11 specialists. Plan reflects USD 800K team budget over 24 months (~USD 33K/month).</t>
  </si>
  <si>
    <t>Function</t>
  </si>
  <si>
    <t>Current</t>
  </si>
  <si>
    <t>M3</t>
  </si>
  <si>
    <t>M6</t>
  </si>
  <si>
    <t>M12</t>
  </si>
  <si>
    <t>M18</t>
  </si>
  <si>
    <t>M24</t>
  </si>
  <si>
    <t>Engineering</t>
  </si>
  <si>
    <t>AI / ML</t>
  </si>
  <si>
    <t>Sales (Property)</t>
  </si>
  <si>
    <t>Sales (AI Agent)</t>
  </si>
  <si>
    <t>Partnerships</t>
  </si>
  <si>
    <t>Operations</t>
  </si>
  <si>
    <t>Marketing</t>
  </si>
  <si>
    <t>Founder/CEO</t>
  </si>
  <si>
    <t>RWA / Web3 (post-launch)</t>
  </si>
  <si>
    <t>TOTAL HEADCOUNT</t>
  </si>
  <si>
    <t>ESTIMATED MONTHLY COST</t>
  </si>
  <si>
    <t>Avg cost per FTE (USD/month)</t>
  </si>
  <si>
    <t>Brazilian senior tech avg blended</t>
  </si>
  <si>
    <t>Total monthly cost</t>
  </si>
  <si>
    <t>CAP TABLE — DILUTION SCHEDULE</t>
  </si>
  <si>
    <t>Real pre-round structure: 85% Founder + 15% Co-founders (formalized). Pool of 10% created pre-money at PreSeed close. SAFE converts at cap into priced equity at Seed.</t>
  </si>
  <si>
    <t>Stakeholder</t>
  </si>
  <si>
    <t>Pre-Round</t>
  </si>
  <si>
    <t>Post-Pool (pre-money)</t>
  </si>
  <si>
    <t>Post-PreSeed</t>
  </si>
  <si>
    <t>Post-Seed</t>
  </si>
  <si>
    <t>Post-Series A</t>
  </si>
  <si>
    <t>Founder (Gleisson Herit)</t>
  </si>
  <si>
    <t>Co-founders (formalized)</t>
  </si>
  <si>
    <t>Options pool (pre-money)</t>
  </si>
  <si>
    <t>Pre-Seed investors (SAFE)</t>
  </si>
  <si>
    <t>Seed investors</t>
  </si>
  <si>
    <t>Series A investors</t>
  </si>
  <si>
    <t>TOTAL</t>
  </si>
  <si>
    <t>ROUND ASSUMPTIONS</t>
  </si>
  <si>
    <t>Pre-Seed round size (USD)</t>
  </si>
  <si>
    <t>Already in Assumptions tab</t>
  </si>
  <si>
    <t>Pre-Seed valuation cap (USD)</t>
  </si>
  <si>
    <t>Pre-Seed discount</t>
  </si>
  <si>
    <t>SAFE discount</t>
  </si>
  <si>
    <t>Seed round size (USD)</t>
  </si>
  <si>
    <t>Y2 target</t>
  </si>
  <si>
    <t>Seed pre-money valuation (USD)</t>
  </si>
  <si>
    <t>5x Pre-Seed cap target</t>
  </si>
  <si>
    <t>Series A round size (USD)</t>
  </si>
  <si>
    <t>Y4 target</t>
  </si>
  <si>
    <t>Pool % (pre-money)</t>
  </si>
  <si>
    <t>Created pre-PreSeed (dilutes founders only)</t>
  </si>
  <si>
    <t>Series A pre-money valuation (USD)</t>
  </si>
  <si>
    <t>3x Seed multiple target</t>
  </si>
  <si>
    <t>Pre-Seed dilution %</t>
  </si>
  <si>
    <t>USD 2M / USD 13M post-money @ cap</t>
  </si>
  <si>
    <t>Seed dilution %</t>
  </si>
  <si>
    <t>USD 12M / USD 62M post-money</t>
  </si>
  <si>
    <t>Series A dilution %</t>
  </si>
  <si>
    <t>USD 25M / USD 175M post-money</t>
  </si>
  <si>
    <t>REAL PRE-ROUND STRUCTURE</t>
  </si>
  <si>
    <t>Founder %</t>
  </si>
  <si>
    <t>Founder ownership today</t>
  </si>
  <si>
    <t>Co-founders %</t>
  </si>
  <si>
    <t>Formalized in contracts</t>
  </si>
  <si>
    <t>KEY DILUTION METRICS</t>
  </si>
  <si>
    <t>Founder ownership: pre-round → post-Series A</t>
  </si>
  <si>
    <t>Founder dilution (pre → post-Series A)</t>
  </si>
  <si>
    <t>Pre-Seed investor ownership (post-Series A)</t>
  </si>
  <si>
    <t>SCENARIO COMPARISON</t>
  </si>
  <si>
    <t>Note: This model runs the BASE scenario. To view AGGRESSIVE or REACTIVATION, edit cells in column C or D of the Assumptions tab and recalc. Y2 totals shown below reflect slide 13 values for cross-reference.</t>
  </si>
  <si>
    <t>Y2 Metric</t>
  </si>
  <si>
    <t>Base (USD)</t>
  </si>
  <si>
    <t>Aggressive (USD)</t>
  </si>
  <si>
    <t>Reactivation (USD)</t>
  </si>
  <si>
    <t>Aggressive + Reactivation (USD)</t>
  </si>
  <si>
    <t>Property Sales Y2</t>
  </si>
  <si>
    <t>AI Agent Y2</t>
  </si>
  <si>
    <t>RWA Y1 post-launch</t>
  </si>
  <si>
    <t>TOTAL Y2 REVENUE</t>
  </si>
  <si>
    <t>VALUATION WALK — PRE-SEED TO SERIES A</t>
  </si>
  <si>
    <t>Implied valuation trajectory based on revenue multiples typical for vertical SaaS + transactions companies.</t>
  </si>
  <si>
    <t>Round</t>
  </si>
  <si>
    <t>Time</t>
  </si>
  <si>
    <t>ARR (USD)</t>
  </si>
  <si>
    <t>Multiple</t>
  </si>
  <si>
    <t>Valuation (USD)</t>
  </si>
  <si>
    <t>Notes</t>
  </si>
  <si>
    <t>Pre-Seed (current)</t>
  </si>
  <si>
    <t>n/a</t>
  </si>
  <si>
    <t>Cap-based; USD 188K Y0 baseline</t>
  </si>
  <si>
    <t>Y1 milestone</t>
  </si>
  <si>
    <t>Mid-stage vertical SaaS multiple</t>
  </si>
  <si>
    <t>Seed (Y2 target)</t>
  </si>
  <si>
    <t>Jul/28</t>
  </si>
  <si>
    <t>Premium for multi-product platform</t>
  </si>
  <si>
    <t>Y3 milestone</t>
  </si>
  <si>
    <t>Jul/29</t>
  </si>
  <si>
    <t>Assumes 2x ARR growth Y2→Y3</t>
  </si>
  <si>
    <t>Series A (Y4 target)</t>
  </si>
  <si>
    <t>Jul/30</t>
  </si>
  <si>
    <t>Assumes 1.8x ARR growth Y3→Y4</t>
  </si>
  <si>
    <t>INVESTOR RETURN MULTIPLE (Pre-Seed → Series A)</t>
  </si>
  <si>
    <t>Pre-Seed entry valuation</t>
  </si>
  <si>
    <t>Series A exit valuation</t>
  </si>
  <si>
    <t>Multiple expansion (gross)</t>
  </si>
  <si>
    <t>Before dilution</t>
  </si>
  <si>
    <t>Pre-Seed % at Series A (post-dilution)</t>
  </si>
  <si>
    <t>Pre-Seed investor value at Series A</t>
  </si>
  <si>
    <t>Net multiple (Pre-Seed → Series A)</t>
  </si>
  <si>
    <t>USD invested → USD value at Series A</t>
  </si>
  <si>
    <t>SENSITIVITY ANALYSIS — KEY DRIVERS</t>
  </si>
  <si>
    <t>Each variable shifted ±25% from Base. Y2 Total Revenue impact shown.</t>
  </si>
  <si>
    <t>-25%</t>
  </si>
  <si>
    <t>-10%</t>
  </si>
  <si>
    <t>+10%</t>
  </si>
  <si>
    <t>+25%</t>
  </si>
  <si>
    <t>Sensitivity</t>
  </si>
  <si>
    <t>Property growth rate (MoM)</t>
  </si>
  <si>
    <t>AI Agent avg ticket (USD/yr)</t>
  </si>
  <si>
    <t>AI Agent Y2 clients closed</t>
  </si>
  <si>
    <t>RWA users acquired</t>
  </si>
  <si>
    <t>Property avg ticket (USD)</t>
  </si>
  <si>
    <t>TORNADO ANALYSIS</t>
  </si>
  <si>
    <t>Reading the table: each row shows Y2 revenue from that product line at different sensitivity levels. Wider 'Sensitivity %' = more sensitive variable. Plan defenses around the most sensitive drivers.</t>
  </si>
  <si>
    <t>KPI DASHBOARD — EXECUTIVE SUMMARY</t>
  </si>
  <si>
    <t>Single-page summary of all key metrics for verbal pitch and investor diligence.</t>
  </si>
  <si>
    <t>REVENUE METRICS</t>
  </si>
  <si>
    <t>Y0 (current)</t>
  </si>
  <si>
    <t>Y1</t>
  </si>
  <si>
    <t>Y2</t>
  </si>
  <si>
    <t>Y2 vs Y0</t>
  </si>
  <si>
    <t>Total Revenue</t>
  </si>
  <si>
    <t xml:space="preserve">  Property Sales</t>
  </si>
  <si>
    <t xml:space="preserve">  AI Agent</t>
  </si>
  <si>
    <t xml:space="preserve">  RWA</t>
  </si>
  <si>
    <t>UNIT ECONOMICS</t>
  </si>
  <si>
    <t>Property Sales — Avg ticket</t>
  </si>
  <si>
    <t>Property Sales — Commission rate</t>
  </si>
  <si>
    <t>AI Agent — Avg ARR per client</t>
  </si>
  <si>
    <t>AI Agent — CAC per closed client</t>
  </si>
  <si>
    <t>AI Agent — LTV/CAC (3-year)</t>
  </si>
  <si>
    <t>Assumes 3-year retention</t>
  </si>
  <si>
    <t>RWA — ARPU (initial GMV)</t>
  </si>
  <si>
    <t>RWA — CAC per user</t>
  </si>
  <si>
    <t>RWA — Initial CAC payback ratio</t>
  </si>
  <si>
    <t>BURN &amp; RUNWAY</t>
  </si>
  <si>
    <t>Y1 EBITDA</t>
  </si>
  <si>
    <t>Y2 EBITDA</t>
  </si>
  <si>
    <t>Net burn (24 months)</t>
  </si>
  <si>
    <t>VALUATION &amp; EXPECTED RETURNS</t>
  </si>
  <si>
    <t>Pre-Seed valuation cap</t>
  </si>
  <si>
    <t>Seed valuation (Y2 target)</t>
  </si>
  <si>
    <t>Series A valuation (Y4 target)</t>
  </si>
  <si>
    <t>Pre-Seed → Series A net multiple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</si>
</sst>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\$#,##0;&quot;($&quot;#,##0\);\-"/>
    <numFmt numFmtId="165" formatCode="0.0%;\(0.0%\);\-"/>
    <numFmt numFmtId="166" formatCode="#,##0;\(#,##0\);\-"/>
    <numFmt numFmtId="167" formatCode="0.0"/>
    <numFmt numFmtId="168" formatCode="0.00\x"/>
  </numFmts>
  <fonts count="8" x14ac:knownFonts="1">
    <font>
      <sz val="11"/>
      <color theme="1"/>
      <name val="Calibri"/>
      <family val="2"/>
      <charset val="1"/>
    </font>
    <font>
      <b/>
      <sz val="14"/>
      <color rgb="FFFFFFFF"/>
      <name val="Arial"/>
      <family val="2"/>
    </font>
    <font>
      <i/>
      <sz val="9"/>
      <color rgb="FF666666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0"/>
      <color rgb="FF0000FF"/>
      <name val="Arial"/>
      <family val="2"/>
    </font>
    <font>
      <sz val="10"/>
      <color rgb="FF008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8122A"/>
        <bgColor rgb="FF000000"/>
      </patternFill>
    </fill>
    <fill>
      <patternFill patternType="solid">
        <fgColor rgb="FFD4AF37"/>
        <bgColor rgb="FFFFCC00"/>
      </patternFill>
    </fill>
    <fill>
      <patternFill patternType="solid">
        <fgColor rgb="FFFFFF00"/>
        <bgColor rgb="FFFFFF00"/>
      </patternFill>
    </fill>
    <fill>
      <patternFill patternType="solid">
        <fgColor rgb="FFE8F0F7"/>
        <bgColor rgb="FFDDEEDD"/>
      </patternFill>
    </fill>
    <fill>
      <patternFill patternType="solid">
        <fgColor rgb="FFDDEEDD"/>
        <bgColor rgb="FFE8F0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 indent="1"/>
    </xf>
    <xf numFmtId="0" fontId="5" fillId="3" borderId="0" xfId="0" applyFont="1" applyFill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165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66" fontId="6" fillId="4" borderId="0" xfId="0" applyNumberFormat="1" applyFont="1" applyFill="1" applyAlignment="1">
      <alignment horizontal="center" vertical="center"/>
    </xf>
    <xf numFmtId="165" fontId="6" fillId="4" borderId="0" xfId="0" applyNumberFormat="1" applyFont="1" applyFill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4" fontId="6" fillId="4" borderId="0" xfId="0" applyNumberFormat="1" applyFont="1" applyFill="1" applyAlignment="1">
      <alignment horizontal="center" vertical="center"/>
    </xf>
    <xf numFmtId="166" fontId="3" fillId="0" borderId="0" xfId="0" applyNumberFormat="1" applyFont="1"/>
    <xf numFmtId="166" fontId="4" fillId="0" borderId="0" xfId="0" applyNumberFormat="1" applyFont="1"/>
    <xf numFmtId="164" fontId="7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3" fillId="5" borderId="0" xfId="0" applyNumberFormat="1" applyFont="1" applyFill="1"/>
    <xf numFmtId="164" fontId="4" fillId="5" borderId="0" xfId="0" applyNumberFormat="1" applyFont="1" applyFill="1"/>
    <xf numFmtId="0" fontId="4" fillId="6" borderId="0" xfId="0" applyFont="1" applyFill="1"/>
    <xf numFmtId="164" fontId="4" fillId="6" borderId="0" xfId="0" applyNumberFormat="1" applyFont="1" applyFill="1"/>
    <xf numFmtId="0" fontId="4" fillId="3" borderId="0" xfId="0" applyFont="1" applyFill="1"/>
    <xf numFmtId="164" fontId="4" fillId="3" borderId="0" xfId="0" applyNumberFormat="1" applyFont="1" applyFill="1"/>
    <xf numFmtId="0" fontId="5" fillId="3" borderId="0" xfId="0" applyFont="1" applyFill="1"/>
    <xf numFmtId="167" fontId="4" fillId="0" borderId="0" xfId="0" applyNumberFormat="1" applyFont="1"/>
    <xf numFmtId="49" fontId="3" fillId="0" borderId="0" xfId="0" applyNumberFormat="1" applyFont="1" applyAlignment="1">
      <alignment horizontal="left" vertical="center" indent="1"/>
    </xf>
    <xf numFmtId="166" fontId="3" fillId="0" borderId="0" xfId="0" applyNumberFormat="1" applyFont="1" applyAlignment="1">
      <alignment horizontal="center" vertical="center"/>
    </xf>
    <xf numFmtId="166" fontId="4" fillId="6" borderId="0" xfId="0" applyNumberFormat="1" applyFont="1" applyFill="1" applyAlignment="1">
      <alignment horizontal="center" vertical="center"/>
    </xf>
    <xf numFmtId="164" fontId="6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/>
    <xf numFmtId="165" fontId="4" fillId="6" borderId="0" xfId="0" applyNumberFormat="1" applyFont="1" applyFill="1"/>
    <xf numFmtId="164" fontId="6" fillId="4" borderId="0" xfId="0" applyNumberFormat="1" applyFont="1" applyFill="1"/>
    <xf numFmtId="165" fontId="6" fillId="0" borderId="0" xfId="0" applyNumberFormat="1" applyFont="1"/>
    <xf numFmtId="165" fontId="6" fillId="4" borderId="0" xfId="0" applyNumberFormat="1" applyFont="1" applyFill="1"/>
    <xf numFmtId="165" fontId="3" fillId="3" borderId="0" xfId="0" applyNumberFormat="1" applyFont="1" applyFill="1"/>
    <xf numFmtId="0" fontId="2" fillId="0" borderId="0" xfId="0" applyFont="1" applyAlignment="1">
      <alignment horizontal="center" vertical="center"/>
    </xf>
    <xf numFmtId="168" fontId="6" fillId="0" borderId="0" xfId="0" applyNumberFormat="1" applyFont="1"/>
    <xf numFmtId="168" fontId="6" fillId="4" borderId="0" xfId="0" applyNumberFormat="1" applyFont="1" applyFill="1"/>
    <xf numFmtId="168" fontId="4" fillId="3" borderId="0" xfId="0" applyNumberFormat="1" applyFont="1" applyFill="1"/>
    <xf numFmtId="165" fontId="7" fillId="0" borderId="0" xfId="0" applyNumberFormat="1" applyFont="1"/>
    <xf numFmtId="168" fontId="3" fillId="0" borderId="0" xfId="0" applyNumberFormat="1" applyFont="1"/>
    <xf numFmtId="164" fontId="7" fillId="3" borderId="0" xfId="0" applyNumberFormat="1" applyFont="1" applyFill="1"/>
    <xf numFmtId="0" fontId="5" fillId="2" borderId="0" xfId="0" applyFont="1" applyFill="1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5" fillId="2" borderId="0" xfId="0" applyFont="1" applyFill="1" applyAlignment="1">
      <alignment horizontal="left" vertical="center" indent="1"/>
    </xf>
    <xf numFmtId="0" fontId="4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8F0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E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D4AF37"/>
      <rgbColor rgb="FFFF6600"/>
      <rgbColor rgb="FF666666"/>
      <rgbColor rgb="FF969696"/>
      <rgbColor rgb="FF003366"/>
      <rgbColor rgb="FF339966"/>
      <rgbColor rgb="FF08122A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zoomScaleNormal="100" workbookViewId="0">
      <selection sqref="A1:G1"/>
    </sheetView>
  </sheetViews>
  <sheetFormatPr baseColWidth="10" defaultColWidth="8.6640625" defaultRowHeight="15" x14ac:dyDescent="0.2"/>
  <cols>
    <col min="1" max="1" width="28" customWidth="1"/>
    <col min="2" max="2" width="60" customWidth="1"/>
    <col min="3" max="3" width="20" customWidth="1"/>
    <col min="4" max="7" width="12" customWidth="1"/>
  </cols>
  <sheetData>
    <row r="1" spans="1:7" ht="31.5" customHeight="1" x14ac:dyDescent="0.2">
      <c r="A1" s="46" t="s">
        <v>0</v>
      </c>
      <c r="B1" s="46"/>
      <c r="C1" s="46"/>
      <c r="D1" s="46"/>
      <c r="E1" s="46"/>
      <c r="F1" s="46"/>
      <c r="G1" s="46"/>
    </row>
    <row r="3" spans="1:7" ht="15" customHeight="1" x14ac:dyDescent="0.2">
      <c r="A3" s="47" t="s">
        <v>1</v>
      </c>
      <c r="B3" s="47"/>
      <c r="C3" s="47"/>
      <c r="D3" s="47"/>
      <c r="E3" s="47"/>
      <c r="F3" s="47"/>
      <c r="G3" s="47"/>
    </row>
    <row r="4" spans="1:7" ht="15" customHeight="1" x14ac:dyDescent="0.2">
      <c r="A4" s="3"/>
      <c r="B4" s="4"/>
    </row>
    <row r="5" spans="1:7" ht="15" customHeight="1" x14ac:dyDescent="0.2">
      <c r="A5" s="1" t="s">
        <v>2</v>
      </c>
      <c r="B5" s="4" t="s">
        <v>3</v>
      </c>
    </row>
    <row r="6" spans="1:7" ht="15" customHeight="1" x14ac:dyDescent="0.2">
      <c r="A6" s="1" t="s">
        <v>4</v>
      </c>
      <c r="B6" s="4" t="s">
        <v>5</v>
      </c>
    </row>
    <row r="7" spans="1:7" ht="15" customHeight="1" x14ac:dyDescent="0.2">
      <c r="A7" s="1" t="s">
        <v>6</v>
      </c>
      <c r="B7" s="4" t="s">
        <v>7</v>
      </c>
    </row>
    <row r="8" spans="1:7" ht="15" customHeight="1" x14ac:dyDescent="0.2">
      <c r="A8" s="1" t="s">
        <v>8</v>
      </c>
      <c r="B8" s="4" t="s">
        <v>9</v>
      </c>
    </row>
    <row r="9" spans="1:7" ht="15" customHeight="1" x14ac:dyDescent="0.2">
      <c r="A9" s="1" t="s">
        <v>10</v>
      </c>
      <c r="B9" s="4" t="s">
        <v>11</v>
      </c>
    </row>
    <row r="10" spans="1:7" ht="15" customHeight="1" x14ac:dyDescent="0.2">
      <c r="A10" s="3"/>
      <c r="B10" s="4"/>
    </row>
    <row r="11" spans="1:7" ht="15" customHeight="1" x14ac:dyDescent="0.2">
      <c r="A11" s="1" t="s">
        <v>12</v>
      </c>
      <c r="B11" s="4"/>
    </row>
    <row r="12" spans="1:7" ht="15" customHeight="1" x14ac:dyDescent="0.2">
      <c r="A12" s="1" t="s">
        <v>13</v>
      </c>
      <c r="B12" s="4" t="s">
        <v>14</v>
      </c>
    </row>
    <row r="13" spans="1:7" ht="15" customHeight="1" x14ac:dyDescent="0.2">
      <c r="A13" s="1" t="s">
        <v>15</v>
      </c>
      <c r="B13" s="4" t="s">
        <v>16</v>
      </c>
    </row>
    <row r="14" spans="1:7" ht="15" customHeight="1" x14ac:dyDescent="0.2">
      <c r="A14" s="1" t="s">
        <v>17</v>
      </c>
      <c r="B14" s="4" t="s">
        <v>18</v>
      </c>
    </row>
    <row r="15" spans="1:7" ht="15" customHeight="1" x14ac:dyDescent="0.2">
      <c r="A15" s="1" t="s">
        <v>19</v>
      </c>
      <c r="B15" s="4" t="s">
        <v>20</v>
      </c>
    </row>
    <row r="16" spans="1:7" ht="15" customHeight="1" x14ac:dyDescent="0.2">
      <c r="A16" s="3"/>
      <c r="B16" s="4"/>
    </row>
    <row r="17" spans="1:2" ht="15" customHeight="1" x14ac:dyDescent="0.2">
      <c r="A17" s="1" t="s">
        <v>21</v>
      </c>
      <c r="B17" s="4"/>
    </row>
    <row r="18" spans="1:2" ht="15" customHeight="1" x14ac:dyDescent="0.2">
      <c r="A18" s="1" t="s">
        <v>22</v>
      </c>
      <c r="B18" s="4" t="s">
        <v>23</v>
      </c>
    </row>
    <row r="19" spans="1:2" ht="15" customHeight="1" x14ac:dyDescent="0.2">
      <c r="A19" s="1" t="s">
        <v>24</v>
      </c>
      <c r="B19" s="4" t="s">
        <v>25</v>
      </c>
    </row>
    <row r="20" spans="1:2" ht="15" customHeight="1" x14ac:dyDescent="0.2">
      <c r="A20" s="1" t="s">
        <v>26</v>
      </c>
      <c r="B20" s="4" t="s">
        <v>27</v>
      </c>
    </row>
    <row r="21" spans="1:2" ht="15" customHeight="1" x14ac:dyDescent="0.2">
      <c r="A21" s="1" t="s">
        <v>28</v>
      </c>
      <c r="B21" s="4" t="s">
        <v>29</v>
      </c>
    </row>
    <row r="22" spans="1:2" ht="15" customHeight="1" x14ac:dyDescent="0.2">
      <c r="A22" s="3"/>
      <c r="B22" s="4"/>
    </row>
    <row r="23" spans="1:2" ht="15" customHeight="1" x14ac:dyDescent="0.2">
      <c r="A23" s="1" t="s">
        <v>30</v>
      </c>
      <c r="B23" s="4"/>
    </row>
    <row r="24" spans="1:2" ht="15" customHeight="1" x14ac:dyDescent="0.2">
      <c r="A24" s="1" t="s">
        <v>31</v>
      </c>
      <c r="B24" s="4" t="s">
        <v>32</v>
      </c>
    </row>
    <row r="25" spans="1:2" ht="15" customHeight="1" x14ac:dyDescent="0.2">
      <c r="A25" s="1" t="s">
        <v>33</v>
      </c>
      <c r="B25" s="4" t="s">
        <v>34</v>
      </c>
    </row>
    <row r="26" spans="1:2" ht="15" customHeight="1" x14ac:dyDescent="0.2">
      <c r="A26" s="1" t="s">
        <v>35</v>
      </c>
      <c r="B26" s="4" t="s">
        <v>36</v>
      </c>
    </row>
    <row r="27" spans="1:2" ht="15" customHeight="1" x14ac:dyDescent="0.2">
      <c r="A27" s="1" t="s">
        <v>37</v>
      </c>
      <c r="B27" s="4" t="s">
        <v>38</v>
      </c>
    </row>
    <row r="28" spans="1:2" ht="15" customHeight="1" x14ac:dyDescent="0.2">
      <c r="A28" s="3"/>
      <c r="B28" s="4"/>
    </row>
    <row r="29" spans="1:2" ht="15" customHeight="1" x14ac:dyDescent="0.2">
      <c r="A29" s="1" t="s">
        <v>39</v>
      </c>
      <c r="B29" s="4" t="s">
        <v>40</v>
      </c>
    </row>
  </sheetData>
  <mergeCells count="2">
    <mergeCell ref="A1:G1"/>
    <mergeCell ref="A3:G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0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12" sqref="C12"/>
    </sheetView>
  </sheetViews>
  <sheetFormatPr baseColWidth="10" defaultColWidth="8.6640625" defaultRowHeight="15" x14ac:dyDescent="0.2"/>
  <cols>
    <col min="1" max="1" width="38" customWidth="1"/>
    <col min="2" max="4" width="14" customWidth="1"/>
    <col min="5" max="5" width="50" customWidth="1"/>
  </cols>
  <sheetData>
    <row r="1" spans="1:5" ht="27.75" customHeight="1" x14ac:dyDescent="0.2">
      <c r="A1" s="46" t="s">
        <v>41</v>
      </c>
      <c r="B1" s="46"/>
      <c r="C1" s="46"/>
      <c r="D1" s="46"/>
      <c r="E1" s="46"/>
    </row>
    <row r="2" spans="1:5" ht="15" customHeight="1" x14ac:dyDescent="0.2">
      <c r="A2" s="47" t="s">
        <v>42</v>
      </c>
      <c r="B2" s="47"/>
      <c r="C2" s="47"/>
      <c r="D2" s="47"/>
      <c r="E2" s="47"/>
    </row>
    <row r="4" spans="1:5" ht="15" customHeight="1" x14ac:dyDescent="0.2">
      <c r="A4" s="5" t="s">
        <v>43</v>
      </c>
      <c r="B4" s="5" t="s">
        <v>44</v>
      </c>
      <c r="C4" s="5" t="s">
        <v>45</v>
      </c>
      <c r="D4" s="5" t="s">
        <v>46</v>
      </c>
      <c r="E4" s="5" t="s">
        <v>47</v>
      </c>
    </row>
    <row r="5" spans="1:5" ht="21.75" customHeight="1" x14ac:dyDescent="0.2">
      <c r="A5" s="48" t="s">
        <v>48</v>
      </c>
      <c r="B5" s="48"/>
      <c r="C5" s="48"/>
      <c r="D5" s="48"/>
      <c r="E5" s="48"/>
    </row>
    <row r="6" spans="1:5" ht="15" customHeight="1" x14ac:dyDescent="0.2">
      <c r="A6" s="4" t="s">
        <v>49</v>
      </c>
      <c r="B6" s="6">
        <v>2000000</v>
      </c>
      <c r="C6" s="6">
        <v>2000000</v>
      </c>
      <c r="D6" s="6">
        <v>2000000</v>
      </c>
      <c r="E6" s="7" t="s">
        <v>50</v>
      </c>
    </row>
    <row r="7" spans="1:5" ht="15" customHeight="1" x14ac:dyDescent="0.2">
      <c r="A7" s="4" t="s">
        <v>51</v>
      </c>
      <c r="B7" s="6">
        <v>11000000</v>
      </c>
      <c r="C7" s="6">
        <v>11000000</v>
      </c>
      <c r="D7" s="6">
        <v>11000000</v>
      </c>
      <c r="E7" s="7" t="s">
        <v>52</v>
      </c>
    </row>
    <row r="8" spans="1:5" ht="15" customHeight="1" x14ac:dyDescent="0.2">
      <c r="A8" s="4" t="s">
        <v>53</v>
      </c>
      <c r="B8" s="8">
        <v>0.2</v>
      </c>
      <c r="C8" s="8">
        <v>0.2</v>
      </c>
      <c r="D8" s="8">
        <v>0.2</v>
      </c>
      <c r="E8" s="7" t="s">
        <v>54</v>
      </c>
    </row>
    <row r="9" spans="1:5" ht="15" customHeight="1" x14ac:dyDescent="0.2">
      <c r="A9" s="4" t="s">
        <v>6</v>
      </c>
      <c r="B9" s="9" t="s">
        <v>55</v>
      </c>
      <c r="C9" s="9" t="s">
        <v>55</v>
      </c>
      <c r="D9" s="9" t="s">
        <v>55</v>
      </c>
      <c r="E9" s="7" t="s">
        <v>56</v>
      </c>
    </row>
    <row r="11" spans="1:5" ht="21.75" customHeight="1" x14ac:dyDescent="0.2">
      <c r="A11" s="48" t="s">
        <v>57</v>
      </c>
      <c r="B11" s="48"/>
      <c r="C11" s="48"/>
      <c r="D11" s="48"/>
      <c r="E11" s="48"/>
    </row>
    <row r="12" spans="1:5" ht="15" customHeight="1" x14ac:dyDescent="0.2">
      <c r="A12" s="4" t="s">
        <v>58</v>
      </c>
      <c r="B12" s="10">
        <v>75</v>
      </c>
      <c r="C12" s="10">
        <v>75</v>
      </c>
      <c r="D12" s="10">
        <v>75</v>
      </c>
      <c r="E12" s="7" t="s">
        <v>59</v>
      </c>
    </row>
    <row r="13" spans="1:5" ht="15" customHeight="1" x14ac:dyDescent="0.2">
      <c r="A13" s="4" t="s">
        <v>60</v>
      </c>
      <c r="B13" s="6">
        <v>100000</v>
      </c>
      <c r="C13" s="6">
        <v>100000</v>
      </c>
      <c r="D13" s="6">
        <v>100000</v>
      </c>
      <c r="E13" s="7" t="s">
        <v>61</v>
      </c>
    </row>
    <row r="14" spans="1:5" ht="15" customHeight="1" x14ac:dyDescent="0.2">
      <c r="A14" s="4" t="s">
        <v>62</v>
      </c>
      <c r="B14" s="8">
        <v>2.5000000000000001E-2</v>
      </c>
      <c r="C14" s="8">
        <v>2.5000000000000001E-2</v>
      </c>
      <c r="D14" s="8">
        <v>2.5000000000000001E-2</v>
      </c>
      <c r="E14" s="7" t="s">
        <v>63</v>
      </c>
    </row>
    <row r="15" spans="1:5" ht="15" customHeight="1" x14ac:dyDescent="0.2">
      <c r="A15" s="4" t="s">
        <v>64</v>
      </c>
      <c r="B15" s="11">
        <v>0.1</v>
      </c>
      <c r="C15" s="11">
        <v>0.1</v>
      </c>
      <c r="D15" s="11">
        <v>7.0000000000000007E-2</v>
      </c>
      <c r="E15" s="7" t="s">
        <v>65</v>
      </c>
    </row>
    <row r="16" spans="1:5" ht="15" customHeight="1" x14ac:dyDescent="0.2">
      <c r="A16" s="4" t="s">
        <v>66</v>
      </c>
      <c r="B16" s="12">
        <v>0</v>
      </c>
      <c r="C16" s="12">
        <v>0</v>
      </c>
      <c r="D16" s="12">
        <v>160</v>
      </c>
      <c r="E16" s="7" t="s">
        <v>67</v>
      </c>
    </row>
    <row r="17" spans="1:5" ht="15" customHeight="1" x14ac:dyDescent="0.2">
      <c r="A17" s="4" t="s">
        <v>68</v>
      </c>
      <c r="B17" s="6">
        <v>750</v>
      </c>
      <c r="C17" s="6">
        <v>750</v>
      </c>
      <c r="D17" s="6">
        <v>750</v>
      </c>
      <c r="E17" s="7" t="s">
        <v>69</v>
      </c>
    </row>
    <row r="18" spans="1:5" ht="15" customHeight="1" x14ac:dyDescent="0.2">
      <c r="A18" s="4" t="s">
        <v>70</v>
      </c>
      <c r="B18" s="6">
        <v>1500</v>
      </c>
      <c r="C18" s="6">
        <v>1500</v>
      </c>
      <c r="D18" s="6">
        <v>1500</v>
      </c>
      <c r="E18" s="7" t="s">
        <v>71</v>
      </c>
    </row>
    <row r="19" spans="1:5" ht="15" customHeight="1" x14ac:dyDescent="0.2">
      <c r="A19" s="4" t="s">
        <v>72</v>
      </c>
      <c r="B19" s="6">
        <v>3000</v>
      </c>
      <c r="C19" s="6">
        <v>3000</v>
      </c>
      <c r="D19" s="6">
        <v>3000</v>
      </c>
      <c r="E19" s="7" t="s">
        <v>73</v>
      </c>
    </row>
    <row r="21" spans="1:5" ht="21.75" customHeight="1" x14ac:dyDescent="0.2">
      <c r="A21" s="48" t="s">
        <v>74</v>
      </c>
      <c r="B21" s="48"/>
      <c r="C21" s="48"/>
      <c r="D21" s="48"/>
      <c r="E21" s="48"/>
    </row>
    <row r="22" spans="1:5" ht="15" customHeight="1" x14ac:dyDescent="0.2">
      <c r="A22" s="4" t="s">
        <v>75</v>
      </c>
      <c r="B22" s="12">
        <v>1</v>
      </c>
      <c r="C22" s="12">
        <v>1</v>
      </c>
      <c r="D22" s="12">
        <v>1</v>
      </c>
      <c r="E22" s="7" t="s">
        <v>76</v>
      </c>
    </row>
    <row r="23" spans="1:5" ht="15" customHeight="1" x14ac:dyDescent="0.2">
      <c r="A23" s="4" t="s">
        <v>77</v>
      </c>
      <c r="B23" s="10">
        <v>5</v>
      </c>
      <c r="C23" s="10">
        <v>5</v>
      </c>
      <c r="D23" s="10">
        <v>5</v>
      </c>
      <c r="E23" s="7" t="s">
        <v>78</v>
      </c>
    </row>
    <row r="24" spans="1:5" ht="15" customHeight="1" x14ac:dyDescent="0.2">
      <c r="A24" s="4" t="s">
        <v>79</v>
      </c>
      <c r="B24" s="6">
        <v>100000</v>
      </c>
      <c r="C24" s="6">
        <v>100000</v>
      </c>
      <c r="D24" s="6">
        <v>100000</v>
      </c>
      <c r="E24" s="7" t="s">
        <v>80</v>
      </c>
    </row>
    <row r="25" spans="1:5" ht="15" customHeight="1" x14ac:dyDescent="0.2">
      <c r="A25" s="4" t="s">
        <v>81</v>
      </c>
      <c r="B25" s="6">
        <v>25000</v>
      </c>
      <c r="C25" s="6">
        <v>25000</v>
      </c>
      <c r="D25" s="6">
        <v>25000</v>
      </c>
      <c r="E25" s="7" t="s">
        <v>82</v>
      </c>
    </row>
    <row r="26" spans="1:5" ht="15" customHeight="1" x14ac:dyDescent="0.2">
      <c r="A26" s="4" t="s">
        <v>83</v>
      </c>
      <c r="B26" s="12">
        <v>3</v>
      </c>
      <c r="C26" s="12">
        <v>3</v>
      </c>
      <c r="D26" s="12">
        <v>3</v>
      </c>
      <c r="E26" s="7" t="s">
        <v>84</v>
      </c>
    </row>
    <row r="27" spans="1:5" ht="15" customHeight="1" x14ac:dyDescent="0.2">
      <c r="A27" s="4" t="s">
        <v>85</v>
      </c>
      <c r="B27" s="12">
        <v>3</v>
      </c>
      <c r="C27" s="12">
        <v>3</v>
      </c>
      <c r="D27" s="12">
        <v>3</v>
      </c>
      <c r="E27" s="7" t="s">
        <v>86</v>
      </c>
    </row>
    <row r="28" spans="1:5" ht="15" customHeight="1" x14ac:dyDescent="0.2">
      <c r="A28" s="4" t="s">
        <v>87</v>
      </c>
      <c r="B28" s="10">
        <v>5</v>
      </c>
      <c r="C28" s="10">
        <v>8</v>
      </c>
      <c r="D28" s="10">
        <v>6</v>
      </c>
      <c r="E28" s="7" t="s">
        <v>88</v>
      </c>
    </row>
    <row r="29" spans="1:5" ht="15" customHeight="1" x14ac:dyDescent="0.2">
      <c r="A29" s="4" t="s">
        <v>89</v>
      </c>
      <c r="B29" s="8">
        <v>0.85</v>
      </c>
      <c r="C29" s="8">
        <v>0.85</v>
      </c>
      <c r="D29" s="8">
        <v>0.85</v>
      </c>
      <c r="E29" s="7" t="s">
        <v>90</v>
      </c>
    </row>
    <row r="31" spans="1:5" ht="21.75" customHeight="1" x14ac:dyDescent="0.2">
      <c r="A31" s="48" t="s">
        <v>91</v>
      </c>
      <c r="B31" s="48"/>
      <c r="C31" s="48"/>
      <c r="D31" s="48"/>
      <c r="E31" s="48"/>
    </row>
    <row r="32" spans="1:5" ht="15" customHeight="1" x14ac:dyDescent="0.2">
      <c r="A32" s="4" t="s">
        <v>92</v>
      </c>
      <c r="B32" s="12">
        <v>9</v>
      </c>
      <c r="C32" s="12">
        <v>9</v>
      </c>
      <c r="D32" s="12">
        <v>9</v>
      </c>
      <c r="E32" s="7" t="s">
        <v>93</v>
      </c>
    </row>
    <row r="33" spans="1:5" ht="15" customHeight="1" x14ac:dyDescent="0.2">
      <c r="A33" s="4" t="s">
        <v>94</v>
      </c>
      <c r="B33" s="10">
        <v>66000</v>
      </c>
      <c r="C33" s="10">
        <v>66000</v>
      </c>
      <c r="D33" s="10">
        <v>50000</v>
      </c>
      <c r="E33" s="7" t="s">
        <v>95</v>
      </c>
    </row>
    <row r="34" spans="1:5" ht="15" customHeight="1" x14ac:dyDescent="0.2">
      <c r="A34" s="4" t="s">
        <v>96</v>
      </c>
      <c r="B34" s="6">
        <v>50</v>
      </c>
      <c r="C34" s="6">
        <v>50</v>
      </c>
      <c r="D34" s="6">
        <v>50</v>
      </c>
      <c r="E34" s="7" t="s">
        <v>97</v>
      </c>
    </row>
    <row r="35" spans="1:5" ht="15" customHeight="1" x14ac:dyDescent="0.2">
      <c r="A35" s="4" t="s">
        <v>98</v>
      </c>
      <c r="B35" s="6">
        <v>3</v>
      </c>
      <c r="C35" s="6">
        <v>3</v>
      </c>
      <c r="D35" s="6">
        <v>3</v>
      </c>
      <c r="E35" s="7" t="s">
        <v>99</v>
      </c>
    </row>
    <row r="36" spans="1:5" ht="15" customHeight="1" x14ac:dyDescent="0.2">
      <c r="A36" s="4" t="s">
        <v>100</v>
      </c>
      <c r="B36" s="12">
        <v>12</v>
      </c>
      <c r="C36" s="12">
        <v>12</v>
      </c>
      <c r="D36" s="12">
        <v>12</v>
      </c>
      <c r="E36" s="7" t="s">
        <v>101</v>
      </c>
    </row>
    <row r="37" spans="1:5" ht="15" customHeight="1" x14ac:dyDescent="0.2">
      <c r="A37" s="4" t="s">
        <v>102</v>
      </c>
      <c r="B37" s="8">
        <v>5.0000000000000001E-3</v>
      </c>
      <c r="C37" s="8">
        <v>5.0000000000000001E-3</v>
      </c>
      <c r="D37" s="8">
        <v>5.0000000000000001E-3</v>
      </c>
      <c r="E37" s="7" t="s">
        <v>103</v>
      </c>
    </row>
    <row r="38" spans="1:5" ht="15" customHeight="1" x14ac:dyDescent="0.2">
      <c r="A38" s="4" t="s">
        <v>104</v>
      </c>
      <c r="B38" s="6">
        <v>2</v>
      </c>
      <c r="C38" s="6">
        <v>2</v>
      </c>
      <c r="D38" s="6">
        <v>2</v>
      </c>
      <c r="E38" s="7" t="s">
        <v>105</v>
      </c>
    </row>
    <row r="39" spans="1:5" ht="15" customHeight="1" x14ac:dyDescent="0.2">
      <c r="A39" s="4" t="s">
        <v>106</v>
      </c>
      <c r="B39" s="8">
        <v>1.4999999999999999E-2</v>
      </c>
      <c r="C39" s="8">
        <v>1.4999999999999999E-2</v>
      </c>
      <c r="D39" s="8">
        <v>1.4999999999999999E-2</v>
      </c>
      <c r="E39" s="7" t="s">
        <v>107</v>
      </c>
    </row>
    <row r="40" spans="1:5" ht="15" customHeight="1" x14ac:dyDescent="0.2">
      <c r="A40" s="4" t="s">
        <v>108</v>
      </c>
      <c r="B40" s="8">
        <v>0.5</v>
      </c>
      <c r="C40" s="8">
        <v>0.5</v>
      </c>
      <c r="D40" s="8">
        <v>0.5</v>
      </c>
      <c r="E40" s="7" t="s">
        <v>109</v>
      </c>
    </row>
    <row r="42" spans="1:5" ht="21.75" customHeight="1" x14ac:dyDescent="0.2">
      <c r="A42" s="48" t="s">
        <v>110</v>
      </c>
      <c r="B42" s="48"/>
      <c r="C42" s="48"/>
      <c r="D42" s="48"/>
      <c r="E42" s="48"/>
    </row>
    <row r="43" spans="1:5" ht="15" customHeight="1" x14ac:dyDescent="0.2">
      <c r="A43" s="4" t="s">
        <v>111</v>
      </c>
      <c r="B43" s="13">
        <v>65000</v>
      </c>
      <c r="C43" s="13">
        <v>65000</v>
      </c>
      <c r="D43" s="13">
        <v>65000</v>
      </c>
      <c r="E43" s="7" t="s">
        <v>112</v>
      </c>
    </row>
    <row r="44" spans="1:5" ht="15" customHeight="1" x14ac:dyDescent="0.2">
      <c r="A44" s="4" t="s">
        <v>113</v>
      </c>
      <c r="B44" s="6">
        <v>800000</v>
      </c>
      <c r="C44" s="6">
        <v>800000</v>
      </c>
      <c r="D44" s="6">
        <v>800000</v>
      </c>
      <c r="E44" s="7" t="s">
        <v>114</v>
      </c>
    </row>
    <row r="45" spans="1:5" ht="15" customHeight="1" x14ac:dyDescent="0.2">
      <c r="A45" s="4" t="s">
        <v>115</v>
      </c>
      <c r="B45" s="6">
        <v>500000</v>
      </c>
      <c r="C45" s="6">
        <v>500000</v>
      </c>
      <c r="D45" s="6">
        <v>500000</v>
      </c>
      <c r="E45" s="7" t="s">
        <v>116</v>
      </c>
    </row>
    <row r="46" spans="1:5" ht="15" customHeight="1" x14ac:dyDescent="0.2">
      <c r="A46" s="4" t="s">
        <v>117</v>
      </c>
      <c r="B46" s="6">
        <v>200000</v>
      </c>
      <c r="C46" s="6">
        <v>200000</v>
      </c>
      <c r="D46" s="6">
        <v>200000</v>
      </c>
      <c r="E46" s="7" t="s">
        <v>118</v>
      </c>
    </row>
    <row r="47" spans="1:5" ht="15" customHeight="1" x14ac:dyDescent="0.2">
      <c r="A47" s="4" t="s">
        <v>119</v>
      </c>
      <c r="B47" s="6">
        <v>200000</v>
      </c>
      <c r="C47" s="6">
        <v>200000</v>
      </c>
      <c r="D47" s="6">
        <v>200000</v>
      </c>
      <c r="E47" s="7" t="s">
        <v>118</v>
      </c>
    </row>
    <row r="48" spans="1:5" ht="15" customHeight="1" x14ac:dyDescent="0.2">
      <c r="A48" s="4" t="s">
        <v>120</v>
      </c>
      <c r="B48" s="6">
        <v>100000</v>
      </c>
      <c r="C48" s="6">
        <v>100000</v>
      </c>
      <c r="D48" s="6">
        <v>100000</v>
      </c>
      <c r="E48" s="7" t="s">
        <v>121</v>
      </c>
    </row>
    <row r="49" spans="1:5" ht="15" customHeight="1" x14ac:dyDescent="0.2">
      <c r="A49" s="4" t="s">
        <v>122</v>
      </c>
      <c r="B49" s="6">
        <v>100000</v>
      </c>
      <c r="C49" s="6">
        <v>100000</v>
      </c>
      <c r="D49" s="6">
        <v>100000</v>
      </c>
      <c r="E49" s="7" t="s">
        <v>121</v>
      </c>
    </row>
    <row r="50" spans="1:5" ht="15" customHeight="1" x14ac:dyDescent="0.2">
      <c r="A50" s="4" t="s">
        <v>123</v>
      </c>
      <c r="B50" s="6">
        <v>100000</v>
      </c>
      <c r="C50" s="6">
        <v>100000</v>
      </c>
      <c r="D50" s="6">
        <v>100000</v>
      </c>
      <c r="E50" s="7" t="s">
        <v>121</v>
      </c>
    </row>
  </sheetData>
  <mergeCells count="7">
    <mergeCell ref="A31:E31"/>
    <mergeCell ref="A42:E42"/>
    <mergeCell ref="A1:E1"/>
    <mergeCell ref="A2:E2"/>
    <mergeCell ref="A5:E5"/>
    <mergeCell ref="A11:E11"/>
    <mergeCell ref="A21:E2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1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A11" sqref="AA11"/>
    </sheetView>
  </sheetViews>
  <sheetFormatPr baseColWidth="10" defaultColWidth="8.6640625" defaultRowHeight="15" x14ac:dyDescent="0.2"/>
  <cols>
    <col min="1" max="1" width="32" customWidth="1"/>
    <col min="2" max="25" width="11" customWidth="1"/>
    <col min="26" max="27" width="13" customWidth="1"/>
  </cols>
  <sheetData>
    <row r="1" spans="1:27" ht="27.75" customHeight="1" x14ac:dyDescent="0.2">
      <c r="A1" s="46" t="s">
        <v>124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27" ht="15" customHeight="1" x14ac:dyDescent="0.2">
      <c r="A2" s="47" t="s">
        <v>125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</row>
    <row r="4" spans="1:27" ht="15" customHeight="1" x14ac:dyDescent="0.2">
      <c r="A4" s="5" t="s">
        <v>126</v>
      </c>
      <c r="B4" s="5" t="s">
        <v>55</v>
      </c>
      <c r="C4" s="5" t="s">
        <v>127</v>
      </c>
      <c r="D4" s="5" t="s">
        <v>128</v>
      </c>
      <c r="E4" s="5" t="s">
        <v>129</v>
      </c>
      <c r="F4" s="5" t="s">
        <v>130</v>
      </c>
      <c r="G4" s="5" t="s">
        <v>131</v>
      </c>
      <c r="H4" s="5" t="s">
        <v>132</v>
      </c>
      <c r="I4" s="5" t="s">
        <v>133</v>
      </c>
      <c r="J4" s="5" t="s">
        <v>134</v>
      </c>
      <c r="K4" s="5" t="s">
        <v>135</v>
      </c>
      <c r="L4" s="5" t="s">
        <v>136</v>
      </c>
      <c r="M4" s="5" t="s">
        <v>137</v>
      </c>
      <c r="N4" s="5" t="s">
        <v>138</v>
      </c>
      <c r="O4" s="5" t="s">
        <v>139</v>
      </c>
      <c r="P4" s="5" t="s">
        <v>140</v>
      </c>
      <c r="Q4" s="5" t="s">
        <v>141</v>
      </c>
      <c r="R4" s="5" t="s">
        <v>142</v>
      </c>
      <c r="S4" s="5" t="s">
        <v>143</v>
      </c>
      <c r="T4" s="5" t="s">
        <v>144</v>
      </c>
      <c r="U4" s="5" t="s">
        <v>145</v>
      </c>
      <c r="V4" s="5" t="s">
        <v>146</v>
      </c>
      <c r="W4" s="5" t="s">
        <v>147</v>
      </c>
      <c r="X4" s="5" t="s">
        <v>148</v>
      </c>
      <c r="Y4" s="5" t="s">
        <v>149</v>
      </c>
      <c r="Z4" s="5" t="s">
        <v>150</v>
      </c>
      <c r="AA4" s="5" t="s">
        <v>151</v>
      </c>
    </row>
    <row r="5" spans="1:27" ht="15" customHeight="1" x14ac:dyDescent="0.2">
      <c r="A5" s="1" t="s">
        <v>152</v>
      </c>
      <c r="B5" s="14">
        <v>8</v>
      </c>
      <c r="C5" s="14">
        <v>9</v>
      </c>
      <c r="D5" s="14">
        <v>12</v>
      </c>
      <c r="E5" s="14">
        <f>D5*(1+Assumptions!$B$15)</f>
        <v>13.200000000000001</v>
      </c>
      <c r="F5" s="14">
        <f>E5*(1+Assumptions!$B$15)</f>
        <v>14.520000000000003</v>
      </c>
      <c r="G5" s="14">
        <f>F5*(1+Assumptions!$B$15)</f>
        <v>15.972000000000005</v>
      </c>
      <c r="H5" s="14">
        <f>G5*(1+Assumptions!$B$15)</f>
        <v>17.569200000000006</v>
      </c>
      <c r="I5" s="14">
        <f>H5*(1+Assumptions!$B$15)</f>
        <v>19.326120000000007</v>
      </c>
      <c r="J5" s="14">
        <f>I5*(1+Assumptions!$B$15)</f>
        <v>21.258732000000009</v>
      </c>
      <c r="K5" s="14">
        <f>J5*(1+Assumptions!$B$15)</f>
        <v>23.384605200000014</v>
      </c>
      <c r="L5" s="14">
        <f>K5*(1+Assumptions!$B$15)</f>
        <v>25.723065720000015</v>
      </c>
      <c r="M5" s="14">
        <f>L5*(1+Assumptions!$B$15)</f>
        <v>28.295372292000017</v>
      </c>
      <c r="N5" s="14">
        <f>M5*(1+Assumptions!$B$15)</f>
        <v>31.124909521200021</v>
      </c>
      <c r="O5" s="14">
        <f>N5*(1+Assumptions!$B$15)</f>
        <v>34.237400473320022</v>
      </c>
      <c r="P5" s="14">
        <f>O5*(1+Assumptions!$B$15)</f>
        <v>37.661140520652026</v>
      </c>
      <c r="Q5" s="14">
        <f>P5*(1+Assumptions!$B$15)</f>
        <v>41.427254572717231</v>
      </c>
      <c r="R5" s="14">
        <f>Q5*(1+Assumptions!$B$15)</f>
        <v>45.569980029988962</v>
      </c>
      <c r="S5" s="14">
        <f>R5*(1+Assumptions!$B$15)</f>
        <v>50.126978032987864</v>
      </c>
      <c r="T5" s="14">
        <f>S5*(1+Assumptions!$B$15)</f>
        <v>55.139675836286656</v>
      </c>
      <c r="U5" s="14">
        <f>T5*(1+Assumptions!$B$15)</f>
        <v>60.653643419915326</v>
      </c>
      <c r="V5" s="14">
        <f>U5*(1+Assumptions!$B$15)</f>
        <v>66.719007761906866</v>
      </c>
      <c r="W5" s="14">
        <f>V5*(1+Assumptions!$B$15)</f>
        <v>73.390908538097563</v>
      </c>
      <c r="X5" s="14">
        <f>W5*(1+Assumptions!$B$15)</f>
        <v>80.729999391907327</v>
      </c>
      <c r="Y5" s="14">
        <f>X5*(1+Assumptions!$B$15)</f>
        <v>88.802999331098064</v>
      </c>
      <c r="Z5" s="15">
        <f>SUM(B5:M5)</f>
        <v>208.2490952120001</v>
      </c>
      <c r="AA5" s="15">
        <f>SUM(N5:Y5)</f>
        <v>665.58389743007797</v>
      </c>
    </row>
    <row r="6" spans="1:27" ht="15" customHeight="1" x14ac:dyDescent="0.2">
      <c r="A6" s="3" t="s">
        <v>153</v>
      </c>
      <c r="B6" s="16">
        <f>Assumptions!$B$13</f>
        <v>100000</v>
      </c>
      <c r="C6" s="16">
        <f>Assumptions!$B$13</f>
        <v>100000</v>
      </c>
      <c r="D6" s="16">
        <f>Assumptions!$B$13</f>
        <v>100000</v>
      </c>
      <c r="E6" s="16">
        <f>Assumptions!$B$13</f>
        <v>100000</v>
      </c>
      <c r="F6" s="16">
        <f>Assumptions!$B$13</f>
        <v>100000</v>
      </c>
      <c r="G6" s="16">
        <f>Assumptions!$B$13</f>
        <v>100000</v>
      </c>
      <c r="H6" s="16">
        <f>Assumptions!$B$13</f>
        <v>100000</v>
      </c>
      <c r="I6" s="16">
        <f>Assumptions!$B$13</f>
        <v>100000</v>
      </c>
      <c r="J6" s="16">
        <f>Assumptions!$B$13</f>
        <v>100000</v>
      </c>
      <c r="K6" s="16">
        <f>Assumptions!$B$13</f>
        <v>100000</v>
      </c>
      <c r="L6" s="16">
        <f>Assumptions!$B$13</f>
        <v>100000</v>
      </c>
      <c r="M6" s="16">
        <f>Assumptions!$B$13</f>
        <v>100000</v>
      </c>
      <c r="N6" s="16">
        <f>Assumptions!$B$13</f>
        <v>100000</v>
      </c>
      <c r="O6" s="16">
        <f>Assumptions!$B$13</f>
        <v>100000</v>
      </c>
      <c r="P6" s="16">
        <f>Assumptions!$B$13</f>
        <v>100000</v>
      </c>
      <c r="Q6" s="16">
        <f>Assumptions!$B$13</f>
        <v>100000</v>
      </c>
      <c r="R6" s="16">
        <f>Assumptions!$B$13</f>
        <v>100000</v>
      </c>
      <c r="S6" s="16">
        <f>Assumptions!$B$13</f>
        <v>100000</v>
      </c>
      <c r="T6" s="16">
        <f>Assumptions!$B$13</f>
        <v>100000</v>
      </c>
      <c r="U6" s="16">
        <f>Assumptions!$B$13</f>
        <v>100000</v>
      </c>
      <c r="V6" s="16">
        <f>Assumptions!$B$13</f>
        <v>100000</v>
      </c>
      <c r="W6" s="16">
        <f>Assumptions!$B$13</f>
        <v>100000</v>
      </c>
      <c r="X6" s="16">
        <f>Assumptions!$B$13</f>
        <v>100000</v>
      </c>
      <c r="Y6" s="16">
        <f>Assumptions!$B$13</f>
        <v>100000</v>
      </c>
    </row>
    <row r="7" spans="1:27" ht="15" customHeight="1" x14ac:dyDescent="0.2">
      <c r="A7" s="3" t="s">
        <v>154</v>
      </c>
      <c r="B7" s="17">
        <f t="shared" ref="B7:Y7" si="0">B5*B6</f>
        <v>800000</v>
      </c>
      <c r="C7" s="17">
        <f t="shared" si="0"/>
        <v>900000</v>
      </c>
      <c r="D7" s="17">
        <f t="shared" si="0"/>
        <v>1200000</v>
      </c>
      <c r="E7" s="17">
        <f t="shared" si="0"/>
        <v>1320000</v>
      </c>
      <c r="F7" s="17">
        <f t="shared" si="0"/>
        <v>1452000.0000000002</v>
      </c>
      <c r="G7" s="17">
        <f t="shared" si="0"/>
        <v>1597200.0000000005</v>
      </c>
      <c r="H7" s="17">
        <f t="shared" si="0"/>
        <v>1756920.0000000005</v>
      </c>
      <c r="I7" s="17">
        <f t="shared" si="0"/>
        <v>1932612.0000000007</v>
      </c>
      <c r="J7" s="17">
        <f t="shared" si="0"/>
        <v>2125873.2000000011</v>
      </c>
      <c r="K7" s="17">
        <f t="shared" si="0"/>
        <v>2338460.5200000014</v>
      </c>
      <c r="L7" s="17">
        <f t="shared" si="0"/>
        <v>2572306.5720000016</v>
      </c>
      <c r="M7" s="17">
        <f t="shared" si="0"/>
        <v>2829537.2292000018</v>
      </c>
      <c r="N7" s="17">
        <f t="shared" si="0"/>
        <v>3112490.9521200019</v>
      </c>
      <c r="O7" s="17">
        <f t="shared" si="0"/>
        <v>3423740.0473320023</v>
      </c>
      <c r="P7" s="17">
        <f t="shared" si="0"/>
        <v>3766114.0520652025</v>
      </c>
      <c r="Q7" s="17">
        <f t="shared" si="0"/>
        <v>4142725.4572717231</v>
      </c>
      <c r="R7" s="17">
        <f t="shared" si="0"/>
        <v>4556998.0029988959</v>
      </c>
      <c r="S7" s="17">
        <f t="shared" si="0"/>
        <v>5012697.8032987863</v>
      </c>
      <c r="T7" s="17">
        <f t="shared" si="0"/>
        <v>5513967.5836286657</v>
      </c>
      <c r="U7" s="17">
        <f t="shared" si="0"/>
        <v>6065364.3419915326</v>
      </c>
      <c r="V7" s="17">
        <f t="shared" si="0"/>
        <v>6671900.776190687</v>
      </c>
      <c r="W7" s="17">
        <f t="shared" si="0"/>
        <v>7339090.8538097562</v>
      </c>
      <c r="X7" s="17">
        <f t="shared" si="0"/>
        <v>8072999.9391907323</v>
      </c>
      <c r="Y7" s="17">
        <f t="shared" si="0"/>
        <v>8880299.9331098069</v>
      </c>
      <c r="Z7" s="18">
        <f>SUM(B7:M7)</f>
        <v>20824909.521200005</v>
      </c>
      <c r="AA7" s="18">
        <f>SUM(N7:Y7)</f>
        <v>66558389.743007794</v>
      </c>
    </row>
    <row r="8" spans="1:27" ht="15" customHeight="1" x14ac:dyDescent="0.2">
      <c r="A8" s="1" t="s">
        <v>155</v>
      </c>
      <c r="B8" s="19">
        <f>B7*Assumptions!$B$14</f>
        <v>20000</v>
      </c>
      <c r="C8" s="19">
        <f>C7*Assumptions!$B$14</f>
        <v>22500</v>
      </c>
      <c r="D8" s="19">
        <f>D7*Assumptions!$B$14</f>
        <v>30000</v>
      </c>
      <c r="E8" s="19">
        <f>E7*Assumptions!$B$14</f>
        <v>33000</v>
      </c>
      <c r="F8" s="19">
        <f>F7*Assumptions!$B$14</f>
        <v>36300.000000000007</v>
      </c>
      <c r="G8" s="19">
        <f>G7*Assumptions!$B$14</f>
        <v>39930.000000000015</v>
      </c>
      <c r="H8" s="19">
        <f>H7*Assumptions!$B$14</f>
        <v>43923.000000000015</v>
      </c>
      <c r="I8" s="19">
        <f>I7*Assumptions!$B$14</f>
        <v>48315.300000000017</v>
      </c>
      <c r="J8" s="19">
        <f>J7*Assumptions!$B$14</f>
        <v>53146.830000000031</v>
      </c>
      <c r="K8" s="19">
        <f>K7*Assumptions!$B$14</f>
        <v>58461.513000000035</v>
      </c>
      <c r="L8" s="19">
        <f>L7*Assumptions!$B$14</f>
        <v>64307.66430000004</v>
      </c>
      <c r="M8" s="19">
        <f>M7*Assumptions!$B$14</f>
        <v>70738.430730000051</v>
      </c>
      <c r="N8" s="19">
        <f>N7*Assumptions!$B$14</f>
        <v>77812.273803000047</v>
      </c>
      <c r="O8" s="19">
        <f>O7*Assumptions!$B$14</f>
        <v>85593.501183300061</v>
      </c>
      <c r="P8" s="19">
        <f>P7*Assumptions!$B$14</f>
        <v>94152.851301630071</v>
      </c>
      <c r="Q8" s="19">
        <f>Q7*Assumptions!$B$14</f>
        <v>103568.13643179309</v>
      </c>
      <c r="R8" s="19">
        <f>R7*Assumptions!$B$14</f>
        <v>113924.95007497241</v>
      </c>
      <c r="S8" s="19">
        <f>S7*Assumptions!$B$14</f>
        <v>125317.44508246967</v>
      </c>
      <c r="T8" s="19">
        <f>T7*Assumptions!$B$14</f>
        <v>137849.18959071665</v>
      </c>
      <c r="U8" s="19">
        <f>U7*Assumptions!$B$14</f>
        <v>151634.10854978833</v>
      </c>
      <c r="V8" s="19">
        <f>V7*Assumptions!$B$14</f>
        <v>166797.5194047672</v>
      </c>
      <c r="W8" s="19">
        <f>W7*Assumptions!$B$14</f>
        <v>183477.27134524391</v>
      </c>
      <c r="X8" s="19">
        <f>X7*Assumptions!$B$14</f>
        <v>201824.99847976831</v>
      </c>
      <c r="Y8" s="19">
        <f>Y7*Assumptions!$B$14</f>
        <v>222007.49832774518</v>
      </c>
      <c r="Z8" s="20">
        <f>SUM(B8:M8)</f>
        <v>520622.73803000024</v>
      </c>
      <c r="AA8" s="20">
        <f>SUM(N8:Y8)</f>
        <v>1663959.7435751951</v>
      </c>
    </row>
    <row r="9" spans="1:27" ht="15" customHeight="1" x14ac:dyDescent="0.2">
      <c r="A9" s="3" t="s">
        <v>156</v>
      </c>
      <c r="B9" s="17">
        <f>IF(SUM($B$5:B5)&lt;=100,Assumptions!$B$17,IF(SUM($B$5:B5)&lt;=300,Assumptions!$B$18,Assumptions!$B$19))</f>
        <v>750</v>
      </c>
      <c r="C9" s="17">
        <f>IF(SUM($B$5:C5)&lt;=100,Assumptions!$B$17,IF(SUM($B$5:C5)&lt;=300,Assumptions!$B$18,Assumptions!$B$19))</f>
        <v>750</v>
      </c>
      <c r="D9" s="17">
        <f>IF(SUM($B$5:D5)&lt;=100,Assumptions!$B$17,IF(SUM($B$5:D5)&lt;=300,Assumptions!$B$18,Assumptions!$B$19))</f>
        <v>750</v>
      </c>
      <c r="E9" s="17">
        <f>IF(SUM($B$5:E5)&lt;=100,Assumptions!$B$17,IF(SUM($B$5:E5)&lt;=300,Assumptions!$B$18,Assumptions!$B$19))</f>
        <v>750</v>
      </c>
      <c r="F9" s="17">
        <f>IF(SUM($B$5:F5)&lt;=100,Assumptions!$B$17,IF(SUM($B$5:F5)&lt;=300,Assumptions!$B$18,Assumptions!$B$19))</f>
        <v>750</v>
      </c>
      <c r="G9" s="17">
        <f>IF(SUM($B$5:G5)&lt;=100,Assumptions!$B$17,IF(SUM($B$5:G5)&lt;=300,Assumptions!$B$18,Assumptions!$B$19))</f>
        <v>750</v>
      </c>
      <c r="H9" s="17">
        <f>IF(SUM($B$5:H5)&lt;=100,Assumptions!$B$17,IF(SUM($B$5:H5)&lt;=300,Assumptions!$B$18,Assumptions!$B$19))</f>
        <v>750</v>
      </c>
      <c r="I9" s="17">
        <f>IF(SUM($B$5:I5)&lt;=100,Assumptions!$B$17,IF(SUM($B$5:I5)&lt;=300,Assumptions!$B$18,Assumptions!$B$19))</f>
        <v>1500</v>
      </c>
      <c r="J9" s="17">
        <f>IF(SUM($B$5:J5)&lt;=100,Assumptions!$B$17,IF(SUM($B$5:J5)&lt;=300,Assumptions!$B$18,Assumptions!$B$19))</f>
        <v>1500</v>
      </c>
      <c r="K9" s="17">
        <f>IF(SUM($B$5:K5)&lt;=100,Assumptions!$B$17,IF(SUM($B$5:K5)&lt;=300,Assumptions!$B$18,Assumptions!$B$19))</f>
        <v>1500</v>
      </c>
      <c r="L9" s="17">
        <f>IF(SUM($B$5:L5)&lt;=100,Assumptions!$B$17,IF(SUM($B$5:L5)&lt;=300,Assumptions!$B$18,Assumptions!$B$19))</f>
        <v>1500</v>
      </c>
      <c r="M9" s="17">
        <f>IF(SUM($B$5:M5)&lt;=100,Assumptions!$B$17,IF(SUM($B$5:M5)&lt;=300,Assumptions!$B$18,Assumptions!$B$19))</f>
        <v>1500</v>
      </c>
      <c r="N9" s="17">
        <f>IF(SUM($B$5:N5)&lt;=100,Assumptions!$B$17,IF(SUM($B$5:N5)&lt;=300,Assumptions!$B$18,Assumptions!$B$19))</f>
        <v>1500</v>
      </c>
      <c r="O9" s="17">
        <f>IF(SUM($B$5:O5)&lt;=100,Assumptions!$B$17,IF(SUM($B$5:O5)&lt;=300,Assumptions!$B$18,Assumptions!$B$19))</f>
        <v>1500</v>
      </c>
      <c r="P9" s="17">
        <f>IF(SUM($B$5:P5)&lt;=100,Assumptions!$B$17,IF(SUM($B$5:P5)&lt;=300,Assumptions!$B$18,Assumptions!$B$19))</f>
        <v>3000</v>
      </c>
      <c r="Q9" s="17">
        <f>IF(SUM($B$5:Q5)&lt;=100,Assumptions!$B$17,IF(SUM($B$5:Q5)&lt;=300,Assumptions!$B$18,Assumptions!$B$19))</f>
        <v>3000</v>
      </c>
      <c r="R9" s="17">
        <f>IF(SUM($B$5:R5)&lt;=100,Assumptions!$B$17,IF(SUM($B$5:R5)&lt;=300,Assumptions!$B$18,Assumptions!$B$19))</f>
        <v>3000</v>
      </c>
      <c r="S9" s="17">
        <f>IF(SUM($B$5:S5)&lt;=100,Assumptions!$B$17,IF(SUM($B$5:S5)&lt;=300,Assumptions!$B$18,Assumptions!$B$19))</f>
        <v>3000</v>
      </c>
      <c r="T9" s="17">
        <f>IF(SUM($B$5:T5)&lt;=100,Assumptions!$B$17,IF(SUM($B$5:T5)&lt;=300,Assumptions!$B$18,Assumptions!$B$19))</f>
        <v>3000</v>
      </c>
      <c r="U9" s="17">
        <f>IF(SUM($B$5:U5)&lt;=100,Assumptions!$B$17,IF(SUM($B$5:U5)&lt;=300,Assumptions!$B$18,Assumptions!$B$19))</f>
        <v>3000</v>
      </c>
      <c r="V9" s="17">
        <f>IF(SUM($B$5:V5)&lt;=100,Assumptions!$B$17,IF(SUM($B$5:V5)&lt;=300,Assumptions!$B$18,Assumptions!$B$19))</f>
        <v>3000</v>
      </c>
      <c r="W9" s="17">
        <f>IF(SUM($B$5:W5)&lt;=100,Assumptions!$B$17,IF(SUM($B$5:W5)&lt;=300,Assumptions!$B$18,Assumptions!$B$19))</f>
        <v>3000</v>
      </c>
      <c r="X9" s="17">
        <f>IF(SUM($B$5:X5)&lt;=100,Assumptions!$B$17,IF(SUM($B$5:X5)&lt;=300,Assumptions!$B$18,Assumptions!$B$19))</f>
        <v>3000</v>
      </c>
      <c r="Y9" s="17">
        <f>IF(SUM($B$5:Y5)&lt;=100,Assumptions!$B$17,IF(SUM($B$5:Y5)&lt;=300,Assumptions!$B$18,Assumptions!$B$19))</f>
        <v>3000</v>
      </c>
    </row>
    <row r="10" spans="1:27" ht="15" customHeight="1" x14ac:dyDescent="0.2">
      <c r="A10" s="3" t="s">
        <v>157</v>
      </c>
      <c r="B10" s="17">
        <f t="shared" ref="B10:Y10" si="1">B5*B9</f>
        <v>6000</v>
      </c>
      <c r="C10" s="17">
        <f t="shared" si="1"/>
        <v>6750</v>
      </c>
      <c r="D10" s="17">
        <f t="shared" si="1"/>
        <v>9000</v>
      </c>
      <c r="E10" s="17">
        <f t="shared" si="1"/>
        <v>9900</v>
      </c>
      <c r="F10" s="17">
        <f t="shared" si="1"/>
        <v>10890.000000000002</v>
      </c>
      <c r="G10" s="17">
        <f t="shared" si="1"/>
        <v>11979.000000000004</v>
      </c>
      <c r="H10" s="17">
        <f t="shared" si="1"/>
        <v>13176.900000000005</v>
      </c>
      <c r="I10" s="17">
        <f t="shared" si="1"/>
        <v>28989.180000000011</v>
      </c>
      <c r="J10" s="17">
        <f t="shared" si="1"/>
        <v>31888.098000000013</v>
      </c>
      <c r="K10" s="17">
        <f t="shared" si="1"/>
        <v>35076.907800000023</v>
      </c>
      <c r="L10" s="17">
        <f t="shared" si="1"/>
        <v>38584.59858000002</v>
      </c>
      <c r="M10" s="17">
        <f t="shared" si="1"/>
        <v>42443.058438000029</v>
      </c>
      <c r="N10" s="17">
        <f t="shared" si="1"/>
        <v>46687.36428180003</v>
      </c>
      <c r="O10" s="17">
        <f t="shared" si="1"/>
        <v>51356.100709980034</v>
      </c>
      <c r="P10" s="17">
        <f t="shared" si="1"/>
        <v>112983.42156195607</v>
      </c>
      <c r="Q10" s="17">
        <f t="shared" si="1"/>
        <v>124281.76371815169</v>
      </c>
      <c r="R10" s="17">
        <f t="shared" si="1"/>
        <v>136709.9400899669</v>
      </c>
      <c r="S10" s="17">
        <f t="shared" si="1"/>
        <v>150380.9340989636</v>
      </c>
      <c r="T10" s="17">
        <f t="shared" si="1"/>
        <v>165419.02750885996</v>
      </c>
      <c r="U10" s="17">
        <f t="shared" si="1"/>
        <v>181960.93025974598</v>
      </c>
      <c r="V10" s="17">
        <f t="shared" si="1"/>
        <v>200157.02328572058</v>
      </c>
      <c r="W10" s="17">
        <f t="shared" si="1"/>
        <v>220172.72561429269</v>
      </c>
      <c r="X10" s="17">
        <f t="shared" si="1"/>
        <v>242189.99817572199</v>
      </c>
      <c r="Y10" s="17">
        <f t="shared" si="1"/>
        <v>266408.99799329421</v>
      </c>
      <c r="Z10" s="18">
        <f>SUM(B10:M10)</f>
        <v>244677.74281800012</v>
      </c>
      <c r="AA10" s="18">
        <f>SUM(N10:Y10)</f>
        <v>1898708.2272984537</v>
      </c>
    </row>
    <row r="11" spans="1:27" ht="15" customHeight="1" x14ac:dyDescent="0.2">
      <c r="A11" s="1" t="s">
        <v>158</v>
      </c>
      <c r="B11" s="17">
        <f t="shared" ref="B11:Y11" si="2">B8-B10</f>
        <v>14000</v>
      </c>
      <c r="C11" s="17">
        <f t="shared" si="2"/>
        <v>15750</v>
      </c>
      <c r="D11" s="17">
        <f t="shared" si="2"/>
        <v>21000</v>
      </c>
      <c r="E11" s="17">
        <f t="shared" si="2"/>
        <v>23100</v>
      </c>
      <c r="F11" s="17">
        <f t="shared" si="2"/>
        <v>25410.000000000007</v>
      </c>
      <c r="G11" s="17">
        <f t="shared" si="2"/>
        <v>27951.000000000011</v>
      </c>
      <c r="H11" s="17">
        <f t="shared" si="2"/>
        <v>30746.100000000009</v>
      </c>
      <c r="I11" s="17">
        <f t="shared" si="2"/>
        <v>19326.120000000006</v>
      </c>
      <c r="J11" s="17">
        <f t="shared" si="2"/>
        <v>21258.732000000018</v>
      </c>
      <c r="K11" s="17">
        <f t="shared" si="2"/>
        <v>23384.605200000013</v>
      </c>
      <c r="L11" s="17">
        <f t="shared" si="2"/>
        <v>25723.065720000021</v>
      </c>
      <c r="M11" s="17">
        <f t="shared" si="2"/>
        <v>28295.372292000022</v>
      </c>
      <c r="N11" s="17">
        <f t="shared" si="2"/>
        <v>31124.909521200017</v>
      </c>
      <c r="O11" s="17">
        <f t="shared" si="2"/>
        <v>34237.400473320027</v>
      </c>
      <c r="P11" s="17">
        <f t="shared" si="2"/>
        <v>-18830.570260326</v>
      </c>
      <c r="Q11" s="17">
        <f t="shared" si="2"/>
        <v>-20713.627286358605</v>
      </c>
      <c r="R11" s="17">
        <f t="shared" si="2"/>
        <v>-22784.990014994488</v>
      </c>
      <c r="S11" s="17">
        <f t="shared" si="2"/>
        <v>-25063.489016493928</v>
      </c>
      <c r="T11" s="17">
        <f t="shared" si="2"/>
        <v>-27569.837918143312</v>
      </c>
      <c r="U11" s="17">
        <f t="shared" si="2"/>
        <v>-30326.821709957643</v>
      </c>
      <c r="V11" s="17">
        <f t="shared" si="2"/>
        <v>-33359.503880953387</v>
      </c>
      <c r="W11" s="17">
        <f t="shared" si="2"/>
        <v>-36695.454269048787</v>
      </c>
      <c r="X11" s="17">
        <f t="shared" si="2"/>
        <v>-40364.99969595368</v>
      </c>
      <c r="Y11" s="17">
        <f t="shared" si="2"/>
        <v>-44401.499665549025</v>
      </c>
      <c r="Z11" s="18">
        <f>SUM(B11:M11)</f>
        <v>275944.9952120001</v>
      </c>
      <c r="AA11" s="18">
        <f>SUM(N11:Y11)</f>
        <v>-234748.4837232588</v>
      </c>
    </row>
  </sheetData>
  <mergeCells count="2">
    <mergeCell ref="A1:Z1"/>
    <mergeCell ref="A2:Z2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8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AB1"/>
    </sheetView>
  </sheetViews>
  <sheetFormatPr baseColWidth="10" defaultColWidth="8.6640625" defaultRowHeight="15" x14ac:dyDescent="0.2"/>
  <cols>
    <col min="1" max="1" width="32" customWidth="1"/>
    <col min="2" max="25" width="11" customWidth="1"/>
    <col min="26" max="27" width="13" customWidth="1"/>
  </cols>
  <sheetData>
    <row r="1" spans="1:28" ht="27.75" customHeight="1" x14ac:dyDescent="0.2">
      <c r="A1" s="46" t="s">
        <v>159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</row>
    <row r="4" spans="1:28" ht="15" customHeight="1" x14ac:dyDescent="0.2">
      <c r="A4" s="5" t="s">
        <v>126</v>
      </c>
      <c r="B4" s="5" t="s">
        <v>55</v>
      </c>
      <c r="C4" s="5" t="s">
        <v>127</v>
      </c>
      <c r="D4" s="5" t="s">
        <v>128</v>
      </c>
      <c r="E4" s="5" t="s">
        <v>129</v>
      </c>
      <c r="F4" s="5" t="s">
        <v>130</v>
      </c>
      <c r="G4" s="5" t="s">
        <v>131</v>
      </c>
      <c r="H4" s="5" t="s">
        <v>132</v>
      </c>
      <c r="I4" s="5" t="s">
        <v>133</v>
      </c>
      <c r="J4" s="5" t="s">
        <v>134</v>
      </c>
      <c r="K4" s="5" t="s">
        <v>135</v>
      </c>
      <c r="L4" s="5" t="s">
        <v>136</v>
      </c>
      <c r="M4" s="5" t="s">
        <v>137</v>
      </c>
      <c r="N4" s="5" t="s">
        <v>138</v>
      </c>
      <c r="O4" s="5" t="s">
        <v>139</v>
      </c>
      <c r="P4" s="5" t="s">
        <v>140</v>
      </c>
      <c r="Q4" s="5" t="s">
        <v>141</v>
      </c>
      <c r="R4" s="5" t="s">
        <v>142</v>
      </c>
      <c r="S4" s="5" t="s">
        <v>143</v>
      </c>
      <c r="T4" s="5" t="s">
        <v>144</v>
      </c>
      <c r="U4" s="5" t="s">
        <v>145</v>
      </c>
      <c r="V4" s="5" t="s">
        <v>146</v>
      </c>
      <c r="W4" s="5" t="s">
        <v>147</v>
      </c>
      <c r="X4" s="5" t="s">
        <v>148</v>
      </c>
      <c r="Y4" s="5" t="s">
        <v>149</v>
      </c>
      <c r="Z4" s="5" t="s">
        <v>150</v>
      </c>
      <c r="AA4" s="5" t="s">
        <v>151</v>
      </c>
    </row>
    <row r="5" spans="1:28" ht="15" customHeight="1" x14ac:dyDescent="0.2">
      <c r="A5" s="1" t="s">
        <v>160</v>
      </c>
      <c r="B5" s="14">
        <f>Assumptions!$B$22 + IF(1&gt;=Assumptions!$B$26,MIN(INT((1-Assumptions!$B$26)/Assumptions!$B$27)+1,Assumptions!$B$23),0)</f>
        <v>1</v>
      </c>
      <c r="C5" s="14">
        <f>Assumptions!$B$22 + IF(2&gt;=Assumptions!$B$26,MIN(INT((2-Assumptions!$B$26)/Assumptions!$B$27)+1,Assumptions!$B$23),0)</f>
        <v>1</v>
      </c>
      <c r="D5" s="14">
        <f>Assumptions!$B$22 + IF(3&gt;=Assumptions!$B$26,MIN(INT((3-Assumptions!$B$26)/Assumptions!$B$27)+1,Assumptions!$B$23),0)</f>
        <v>2</v>
      </c>
      <c r="E5" s="14">
        <f>Assumptions!$B$22 + IF(4&gt;=Assumptions!$B$26,MIN(INT((4-Assumptions!$B$26)/Assumptions!$B$27)+1,Assumptions!$B$23),0)</f>
        <v>2</v>
      </c>
      <c r="F5" s="14">
        <f>Assumptions!$B$22 + IF(5&gt;=Assumptions!$B$26,MIN(INT((5-Assumptions!$B$26)/Assumptions!$B$27)+1,Assumptions!$B$23),0)</f>
        <v>2</v>
      </c>
      <c r="G5" s="14">
        <f>Assumptions!$B$22 + IF(6&gt;=Assumptions!$B$26,MIN(INT((6-Assumptions!$B$26)/Assumptions!$B$27)+1,Assumptions!$B$23),0)</f>
        <v>3</v>
      </c>
      <c r="H5" s="14">
        <f>Assumptions!$B$22 + IF(7&gt;=Assumptions!$B$26,MIN(INT((7-Assumptions!$B$26)/Assumptions!$B$27)+1,Assumptions!$B$23),0)</f>
        <v>3</v>
      </c>
      <c r="I5" s="14">
        <f>Assumptions!$B$22 + IF(8&gt;=Assumptions!$B$26,MIN(INT((8-Assumptions!$B$26)/Assumptions!$B$27)+1,Assumptions!$B$23),0)</f>
        <v>3</v>
      </c>
      <c r="J5" s="14">
        <f>Assumptions!$B$22 + IF(9&gt;=Assumptions!$B$26,MIN(INT((9-Assumptions!$B$26)/Assumptions!$B$27)+1,Assumptions!$B$23),0)</f>
        <v>4</v>
      </c>
      <c r="K5" s="14">
        <f>Assumptions!$B$22 + IF(10&gt;=Assumptions!$B$26,MIN(INT((10-Assumptions!$B$26)/Assumptions!$B$27)+1,Assumptions!$B$23),0)</f>
        <v>4</v>
      </c>
      <c r="L5" s="14">
        <f>Assumptions!$B$22 + IF(11&gt;=Assumptions!$B$26,MIN(INT((11-Assumptions!$B$26)/Assumptions!$B$27)+1,Assumptions!$B$23),0)</f>
        <v>4</v>
      </c>
      <c r="M5" s="14">
        <f>Assumptions!$B$22 + IF(12&gt;=Assumptions!$B$26,MIN(INT((12-Assumptions!$B$26)/Assumptions!$B$27)+1,Assumptions!$B$23),0)</f>
        <v>5</v>
      </c>
      <c r="N5" s="14">
        <f>Assumptions!$B$22 + IF(13&gt;=Assumptions!$B$26,MIN(INT((13-Assumptions!$B$26)/Assumptions!$B$27)+1,Assumptions!$B$23),0)</f>
        <v>5</v>
      </c>
      <c r="O5" s="14">
        <f>Assumptions!$B$22 + IF(14&gt;=Assumptions!$B$26,MIN(INT((14-Assumptions!$B$26)/Assumptions!$B$27)+1,Assumptions!$B$23),0)</f>
        <v>5</v>
      </c>
      <c r="P5" s="14">
        <f>Assumptions!$B$22 + IF(15&gt;=Assumptions!$B$26,MIN(INT((15-Assumptions!$B$26)/Assumptions!$B$27)+1,Assumptions!$B$23),0)</f>
        <v>6</v>
      </c>
      <c r="Q5" s="14">
        <f>Assumptions!$B$22 + IF(16&gt;=Assumptions!$B$26,MIN(INT((16-Assumptions!$B$26)/Assumptions!$B$27)+1,Assumptions!$B$23),0)</f>
        <v>6</v>
      </c>
      <c r="R5" s="14">
        <f>Assumptions!$B$22 + IF(17&gt;=Assumptions!$B$26,MIN(INT((17-Assumptions!$B$26)/Assumptions!$B$27)+1,Assumptions!$B$23),0)</f>
        <v>6</v>
      </c>
      <c r="S5" s="14">
        <f>Assumptions!$B$22 + IF(18&gt;=Assumptions!$B$26,MIN(INT((18-Assumptions!$B$26)/Assumptions!$B$27)+1,Assumptions!$B$23),0)</f>
        <v>6</v>
      </c>
      <c r="T5" s="14">
        <f>Assumptions!$B$22 + IF(19&gt;=Assumptions!$B$26,MIN(INT((19-Assumptions!$B$26)/Assumptions!$B$27)+1,Assumptions!$B$23),0)</f>
        <v>6</v>
      </c>
      <c r="U5" s="14">
        <f>Assumptions!$B$22 + IF(20&gt;=Assumptions!$B$26,MIN(INT((20-Assumptions!$B$26)/Assumptions!$B$27)+1,Assumptions!$B$23),0)</f>
        <v>6</v>
      </c>
      <c r="V5" s="14">
        <f>Assumptions!$B$22 + IF(21&gt;=Assumptions!$B$26,MIN(INT((21-Assumptions!$B$26)/Assumptions!$B$27)+1,Assumptions!$B$23),0)</f>
        <v>6</v>
      </c>
      <c r="W5" s="14">
        <f>Assumptions!$B$22 + IF(22&gt;=Assumptions!$B$26,MIN(INT((22-Assumptions!$B$26)/Assumptions!$B$27)+1,Assumptions!$B$23),0)</f>
        <v>6</v>
      </c>
      <c r="X5" s="14">
        <f>Assumptions!$B$22 + IF(23&gt;=Assumptions!$B$26,MIN(INT((23-Assumptions!$B$26)/Assumptions!$B$27)+1,Assumptions!$B$23),0)</f>
        <v>6</v>
      </c>
      <c r="Y5" s="14">
        <f>Assumptions!$B$22 + IF(24&gt;=Assumptions!$B$26,MIN(INT((24-Assumptions!$B$26)/Assumptions!$B$27)+1,Assumptions!$B$23),0)</f>
        <v>6</v>
      </c>
    </row>
    <row r="6" spans="1:28" ht="15" customHeight="1" x14ac:dyDescent="0.2">
      <c r="A6" s="3" t="s">
        <v>161</v>
      </c>
      <c r="B6" s="16">
        <f>Assumptions!$B$24/12</f>
        <v>8333.3333333333339</v>
      </c>
      <c r="C6" s="16">
        <f>Assumptions!$B$24/12</f>
        <v>8333.3333333333339</v>
      </c>
      <c r="D6" s="16">
        <f>Assumptions!$B$24/12</f>
        <v>8333.3333333333339</v>
      </c>
      <c r="E6" s="16">
        <f>Assumptions!$B$24/12</f>
        <v>8333.3333333333339</v>
      </c>
      <c r="F6" s="16">
        <f>Assumptions!$B$24/12</f>
        <v>8333.3333333333339</v>
      </c>
      <c r="G6" s="16">
        <f>Assumptions!$B$24/12</f>
        <v>8333.3333333333339</v>
      </c>
      <c r="H6" s="16">
        <f>Assumptions!$B$24/12</f>
        <v>8333.3333333333339</v>
      </c>
      <c r="I6" s="16">
        <f>Assumptions!$B$24/12</f>
        <v>8333.3333333333339</v>
      </c>
      <c r="J6" s="16">
        <f>Assumptions!$B$24/12</f>
        <v>8333.3333333333339</v>
      </c>
      <c r="K6" s="16">
        <f>Assumptions!$B$24/12</f>
        <v>8333.3333333333339</v>
      </c>
      <c r="L6" s="16">
        <f>Assumptions!$B$24/12</f>
        <v>8333.3333333333339</v>
      </c>
      <c r="M6" s="16">
        <f>Assumptions!$B$24/12</f>
        <v>8333.3333333333339</v>
      </c>
      <c r="N6" s="16">
        <f>Assumptions!$B$24/12</f>
        <v>8333.3333333333339</v>
      </c>
      <c r="O6" s="16">
        <f>Assumptions!$B$24/12</f>
        <v>8333.3333333333339</v>
      </c>
      <c r="P6" s="16">
        <f>Assumptions!$B$24/12</f>
        <v>8333.3333333333339</v>
      </c>
      <c r="Q6" s="16">
        <f>Assumptions!$B$24/12</f>
        <v>8333.3333333333339</v>
      </c>
      <c r="R6" s="16">
        <f>Assumptions!$B$24/12</f>
        <v>8333.3333333333339</v>
      </c>
      <c r="S6" s="16">
        <f>Assumptions!$B$24/12</f>
        <v>8333.3333333333339</v>
      </c>
      <c r="T6" s="16">
        <f>Assumptions!$B$24/12</f>
        <v>8333.3333333333339</v>
      </c>
      <c r="U6" s="16">
        <f>Assumptions!$B$24/12</f>
        <v>8333.3333333333339</v>
      </c>
      <c r="V6" s="16">
        <f>Assumptions!$B$24/12</f>
        <v>8333.3333333333339</v>
      </c>
      <c r="W6" s="16">
        <f>Assumptions!$B$24/12</f>
        <v>8333.3333333333339</v>
      </c>
      <c r="X6" s="16">
        <f>Assumptions!$B$24/12</f>
        <v>8333.3333333333339</v>
      </c>
      <c r="Y6" s="16">
        <f>Assumptions!$B$24/12</f>
        <v>8333.3333333333339</v>
      </c>
    </row>
    <row r="7" spans="1:28" ht="15" customHeight="1" x14ac:dyDescent="0.2">
      <c r="A7" s="1" t="s">
        <v>162</v>
      </c>
      <c r="B7" s="19">
        <f t="shared" ref="B7:Y7" si="0">B5*B6</f>
        <v>8333.3333333333339</v>
      </c>
      <c r="C7" s="19">
        <f t="shared" si="0"/>
        <v>8333.3333333333339</v>
      </c>
      <c r="D7" s="19">
        <f t="shared" si="0"/>
        <v>16666.666666666668</v>
      </c>
      <c r="E7" s="19">
        <f t="shared" si="0"/>
        <v>16666.666666666668</v>
      </c>
      <c r="F7" s="19">
        <f t="shared" si="0"/>
        <v>16666.666666666668</v>
      </c>
      <c r="G7" s="19">
        <f t="shared" si="0"/>
        <v>25000</v>
      </c>
      <c r="H7" s="19">
        <f t="shared" si="0"/>
        <v>25000</v>
      </c>
      <c r="I7" s="19">
        <f t="shared" si="0"/>
        <v>25000</v>
      </c>
      <c r="J7" s="19">
        <f t="shared" si="0"/>
        <v>33333.333333333336</v>
      </c>
      <c r="K7" s="19">
        <f t="shared" si="0"/>
        <v>33333.333333333336</v>
      </c>
      <c r="L7" s="19">
        <f t="shared" si="0"/>
        <v>33333.333333333336</v>
      </c>
      <c r="M7" s="19">
        <f t="shared" si="0"/>
        <v>41666.666666666672</v>
      </c>
      <c r="N7" s="19">
        <f t="shared" si="0"/>
        <v>41666.666666666672</v>
      </c>
      <c r="O7" s="19">
        <f t="shared" si="0"/>
        <v>41666.666666666672</v>
      </c>
      <c r="P7" s="19">
        <f t="shared" si="0"/>
        <v>50000</v>
      </c>
      <c r="Q7" s="19">
        <f t="shared" si="0"/>
        <v>50000</v>
      </c>
      <c r="R7" s="19">
        <f t="shared" si="0"/>
        <v>50000</v>
      </c>
      <c r="S7" s="19">
        <f t="shared" si="0"/>
        <v>50000</v>
      </c>
      <c r="T7" s="19">
        <f t="shared" si="0"/>
        <v>50000</v>
      </c>
      <c r="U7" s="19">
        <f t="shared" si="0"/>
        <v>50000</v>
      </c>
      <c r="V7" s="19">
        <f t="shared" si="0"/>
        <v>50000</v>
      </c>
      <c r="W7" s="19">
        <f t="shared" si="0"/>
        <v>50000</v>
      </c>
      <c r="X7" s="19">
        <f t="shared" si="0"/>
        <v>50000</v>
      </c>
      <c r="Y7" s="19">
        <f t="shared" si="0"/>
        <v>50000</v>
      </c>
      <c r="Z7" s="20">
        <f>SUM(B7:M7)</f>
        <v>283333.33333333337</v>
      </c>
      <c r="AA7" s="20">
        <f>SUM(N7:Y7)</f>
        <v>583333.33333333337</v>
      </c>
    </row>
    <row r="8" spans="1:28" ht="15" customHeight="1" x14ac:dyDescent="0.2">
      <c r="A8" s="3" t="s">
        <v>163</v>
      </c>
      <c r="B8" s="17">
        <f>B5*Assumptions!$B$24</f>
        <v>100000</v>
      </c>
      <c r="C8" s="17">
        <f>C5*Assumptions!$B$24</f>
        <v>100000</v>
      </c>
      <c r="D8" s="17">
        <f>D5*Assumptions!$B$24</f>
        <v>200000</v>
      </c>
      <c r="E8" s="17">
        <f>E5*Assumptions!$B$24</f>
        <v>200000</v>
      </c>
      <c r="F8" s="17">
        <f>F5*Assumptions!$B$24</f>
        <v>200000</v>
      </c>
      <c r="G8" s="17">
        <f>G5*Assumptions!$B$24</f>
        <v>300000</v>
      </c>
      <c r="H8" s="17">
        <f>H5*Assumptions!$B$24</f>
        <v>300000</v>
      </c>
      <c r="I8" s="17">
        <f>I5*Assumptions!$B$24</f>
        <v>300000</v>
      </c>
      <c r="J8" s="17">
        <f>J5*Assumptions!$B$24</f>
        <v>400000</v>
      </c>
      <c r="K8" s="17">
        <f>K5*Assumptions!$B$24</f>
        <v>400000</v>
      </c>
      <c r="L8" s="17">
        <f>L5*Assumptions!$B$24</f>
        <v>400000</v>
      </c>
      <c r="M8" s="17">
        <f>M5*Assumptions!$B$24</f>
        <v>500000</v>
      </c>
      <c r="N8" s="17">
        <f>N5*Assumptions!$B$24</f>
        <v>500000</v>
      </c>
      <c r="O8" s="17">
        <f>O5*Assumptions!$B$24</f>
        <v>500000</v>
      </c>
      <c r="P8" s="17">
        <f>P5*Assumptions!$B$24</f>
        <v>600000</v>
      </c>
      <c r="Q8" s="17">
        <f>Q5*Assumptions!$B$24</f>
        <v>600000</v>
      </c>
      <c r="R8" s="17">
        <f>R5*Assumptions!$B$24</f>
        <v>600000</v>
      </c>
      <c r="S8" s="17">
        <f>S5*Assumptions!$B$24</f>
        <v>600000</v>
      </c>
      <c r="T8" s="17">
        <f>T5*Assumptions!$B$24</f>
        <v>600000</v>
      </c>
      <c r="U8" s="17">
        <f>U5*Assumptions!$B$24</f>
        <v>600000</v>
      </c>
      <c r="V8" s="17">
        <f>V5*Assumptions!$B$24</f>
        <v>600000</v>
      </c>
      <c r="W8" s="17">
        <f>W5*Assumptions!$B$24</f>
        <v>600000</v>
      </c>
      <c r="X8" s="17">
        <f>X5*Assumptions!$B$24</f>
        <v>600000</v>
      </c>
      <c r="Y8" s="17">
        <f>Y5*Assumptions!$B$24</f>
        <v>600000</v>
      </c>
    </row>
  </sheetData>
  <mergeCells count="1">
    <mergeCell ref="A1:AB1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1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AB1"/>
    </sheetView>
  </sheetViews>
  <sheetFormatPr baseColWidth="10" defaultColWidth="8.6640625" defaultRowHeight="15" x14ac:dyDescent="0.2"/>
  <cols>
    <col min="1" max="1" width="36" customWidth="1"/>
    <col min="2" max="25" width="11" customWidth="1"/>
    <col min="26" max="27" width="13" customWidth="1"/>
  </cols>
  <sheetData>
    <row r="1" spans="1:28" ht="27.75" customHeight="1" x14ac:dyDescent="0.2">
      <c r="A1" s="46" t="s">
        <v>164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</row>
    <row r="2" spans="1:28" ht="15" customHeight="1" x14ac:dyDescent="0.2">
      <c r="A2" s="47" t="s">
        <v>165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</row>
    <row r="4" spans="1:28" ht="15" customHeight="1" x14ac:dyDescent="0.2">
      <c r="A4" s="5" t="s">
        <v>126</v>
      </c>
      <c r="B4" s="5" t="s">
        <v>55</v>
      </c>
      <c r="C4" s="5" t="s">
        <v>127</v>
      </c>
      <c r="D4" s="5" t="s">
        <v>128</v>
      </c>
      <c r="E4" s="5" t="s">
        <v>129</v>
      </c>
      <c r="F4" s="5" t="s">
        <v>130</v>
      </c>
      <c r="G4" s="5" t="s">
        <v>131</v>
      </c>
      <c r="H4" s="5" t="s">
        <v>132</v>
      </c>
      <c r="I4" s="5" t="s">
        <v>133</v>
      </c>
      <c r="J4" s="5" t="s">
        <v>134</v>
      </c>
      <c r="K4" s="5" t="s">
        <v>135</v>
      </c>
      <c r="L4" s="5" t="s">
        <v>136</v>
      </c>
      <c r="M4" s="5" t="s">
        <v>137</v>
      </c>
      <c r="N4" s="5" t="s">
        <v>138</v>
      </c>
      <c r="O4" s="5" t="s">
        <v>139</v>
      </c>
      <c r="P4" s="5" t="s">
        <v>140</v>
      </c>
      <c r="Q4" s="5" t="s">
        <v>141</v>
      </c>
      <c r="R4" s="5" t="s">
        <v>142</v>
      </c>
      <c r="S4" s="5" t="s">
        <v>143</v>
      </c>
      <c r="T4" s="5" t="s">
        <v>144</v>
      </c>
      <c r="U4" s="5" t="s">
        <v>145</v>
      </c>
      <c r="V4" s="5" t="s">
        <v>146</v>
      </c>
      <c r="W4" s="5" t="s">
        <v>147</v>
      </c>
      <c r="X4" s="5" t="s">
        <v>148</v>
      </c>
      <c r="Y4" s="5" t="s">
        <v>149</v>
      </c>
      <c r="Z4" s="5" t="s">
        <v>150</v>
      </c>
      <c r="AA4" s="5" t="s">
        <v>151</v>
      </c>
    </row>
    <row r="5" spans="1:28" ht="15" customHeight="1" x14ac:dyDescent="0.2">
      <c r="A5" s="1" t="s">
        <v>166</v>
      </c>
      <c r="B5" s="14">
        <f>IF(1&lt;Assumptions!$B$32,0,MIN((1-Assumptions!$B$32+1)/15*Assumptions!$B$33,Assumptions!$B$33))</f>
        <v>0</v>
      </c>
      <c r="C5" s="14">
        <f>IF(2&lt;Assumptions!$B$32,0,MIN((2-Assumptions!$B$32+1)/15*Assumptions!$B$33,Assumptions!$B$33))</f>
        <v>0</v>
      </c>
      <c r="D5" s="14">
        <f>IF(3&lt;Assumptions!$B$32,0,MIN((3-Assumptions!$B$32+1)/15*Assumptions!$B$33,Assumptions!$B$33))</f>
        <v>0</v>
      </c>
      <c r="E5" s="14">
        <f>IF(4&lt;Assumptions!$B$32,0,MIN((4-Assumptions!$B$32+1)/15*Assumptions!$B$33,Assumptions!$B$33))</f>
        <v>0</v>
      </c>
      <c r="F5" s="14">
        <f>IF(5&lt;Assumptions!$B$32,0,MIN((5-Assumptions!$B$32+1)/15*Assumptions!$B$33,Assumptions!$B$33))</f>
        <v>0</v>
      </c>
      <c r="G5" s="14">
        <f>IF(6&lt;Assumptions!$B$32,0,MIN((6-Assumptions!$B$32+1)/15*Assumptions!$B$33,Assumptions!$B$33))</f>
        <v>0</v>
      </c>
      <c r="H5" s="14">
        <f>IF(7&lt;Assumptions!$B$32,0,MIN((7-Assumptions!$B$32+1)/15*Assumptions!$B$33,Assumptions!$B$33))</f>
        <v>0</v>
      </c>
      <c r="I5" s="14">
        <f>IF(8&lt;Assumptions!$B$32,0,MIN((8-Assumptions!$B$32+1)/15*Assumptions!$B$33,Assumptions!$B$33))</f>
        <v>0</v>
      </c>
      <c r="J5" s="14">
        <f>IF(9&lt;Assumptions!$B$32,0,MIN((9-Assumptions!$B$32+1)/15*Assumptions!$B$33,Assumptions!$B$33))</f>
        <v>4400</v>
      </c>
      <c r="K5" s="14">
        <f>IF(10&lt;Assumptions!$B$32,0,MIN((10-Assumptions!$B$32+1)/15*Assumptions!$B$33,Assumptions!$B$33))</f>
        <v>8800</v>
      </c>
      <c r="L5" s="14">
        <f>IF(11&lt;Assumptions!$B$32,0,MIN((11-Assumptions!$B$32+1)/15*Assumptions!$B$33,Assumptions!$B$33))</f>
        <v>13200</v>
      </c>
      <c r="M5" s="14">
        <f>IF(12&lt;Assumptions!$B$32,0,MIN((12-Assumptions!$B$32+1)/15*Assumptions!$B$33,Assumptions!$B$33))</f>
        <v>17600</v>
      </c>
      <c r="N5" s="14">
        <f>IF(13&lt;Assumptions!$B$32,0,MIN((13-Assumptions!$B$32+1)/15*Assumptions!$B$33,Assumptions!$B$33))</f>
        <v>22000</v>
      </c>
      <c r="O5" s="14">
        <f>IF(14&lt;Assumptions!$B$32,0,MIN((14-Assumptions!$B$32+1)/15*Assumptions!$B$33,Assumptions!$B$33))</f>
        <v>26400</v>
      </c>
      <c r="P5" s="14">
        <f>IF(15&lt;Assumptions!$B$32,0,MIN((15-Assumptions!$B$32+1)/15*Assumptions!$B$33,Assumptions!$B$33))</f>
        <v>30800</v>
      </c>
      <c r="Q5" s="14">
        <f>IF(16&lt;Assumptions!$B$32,0,MIN((16-Assumptions!$B$32+1)/15*Assumptions!$B$33,Assumptions!$B$33))</f>
        <v>35200</v>
      </c>
      <c r="R5" s="14">
        <f>IF(17&lt;Assumptions!$B$32,0,MIN((17-Assumptions!$B$32+1)/15*Assumptions!$B$33,Assumptions!$B$33))</f>
        <v>39600</v>
      </c>
      <c r="S5" s="14">
        <f>IF(18&lt;Assumptions!$B$32,0,MIN((18-Assumptions!$B$32+1)/15*Assumptions!$B$33,Assumptions!$B$33))</f>
        <v>44000</v>
      </c>
      <c r="T5" s="14">
        <f>IF(19&lt;Assumptions!$B$32,0,MIN((19-Assumptions!$B$32+1)/15*Assumptions!$B$33,Assumptions!$B$33))</f>
        <v>48400</v>
      </c>
      <c r="U5" s="14">
        <f>IF(20&lt;Assumptions!$B$32,0,MIN((20-Assumptions!$B$32+1)/15*Assumptions!$B$33,Assumptions!$B$33))</f>
        <v>52800</v>
      </c>
      <c r="V5" s="14">
        <f>IF(21&lt;Assumptions!$B$32,0,MIN((21-Assumptions!$B$32+1)/15*Assumptions!$B$33,Assumptions!$B$33))</f>
        <v>57200</v>
      </c>
      <c r="W5" s="14">
        <f>IF(22&lt;Assumptions!$B$32,0,MIN((22-Assumptions!$B$32+1)/15*Assumptions!$B$33,Assumptions!$B$33))</f>
        <v>61600</v>
      </c>
      <c r="X5" s="14">
        <f>IF(23&lt;Assumptions!$B$32,0,MIN((23-Assumptions!$B$32+1)/15*Assumptions!$B$33,Assumptions!$B$33))</f>
        <v>66000</v>
      </c>
      <c r="Y5" s="14">
        <f>IF(24&lt;Assumptions!$B$32,0,MIN((24-Assumptions!$B$32+1)/15*Assumptions!$B$33,Assumptions!$B$33))</f>
        <v>66000</v>
      </c>
    </row>
    <row r="6" spans="1:28" ht="15" customHeight="1" x14ac:dyDescent="0.2">
      <c r="A6" s="3" t="s">
        <v>167</v>
      </c>
      <c r="B6" s="14">
        <f>B5</f>
        <v>0</v>
      </c>
      <c r="C6" s="14">
        <f t="shared" ref="C6:Y6" si="0">C5-B5</f>
        <v>0</v>
      </c>
      <c r="D6" s="14">
        <f t="shared" si="0"/>
        <v>0</v>
      </c>
      <c r="E6" s="14">
        <f t="shared" si="0"/>
        <v>0</v>
      </c>
      <c r="F6" s="14">
        <f t="shared" si="0"/>
        <v>0</v>
      </c>
      <c r="G6" s="14">
        <f t="shared" si="0"/>
        <v>0</v>
      </c>
      <c r="H6" s="14">
        <f t="shared" si="0"/>
        <v>0</v>
      </c>
      <c r="I6" s="14">
        <f t="shared" si="0"/>
        <v>0</v>
      </c>
      <c r="J6" s="14">
        <f t="shared" si="0"/>
        <v>4400</v>
      </c>
      <c r="K6" s="14">
        <f t="shared" si="0"/>
        <v>4400</v>
      </c>
      <c r="L6" s="14">
        <f t="shared" si="0"/>
        <v>4400</v>
      </c>
      <c r="M6" s="14">
        <f t="shared" si="0"/>
        <v>4400</v>
      </c>
      <c r="N6" s="14">
        <f t="shared" si="0"/>
        <v>4400</v>
      </c>
      <c r="O6" s="14">
        <f t="shared" si="0"/>
        <v>4400</v>
      </c>
      <c r="P6" s="14">
        <f t="shared" si="0"/>
        <v>4400</v>
      </c>
      <c r="Q6" s="14">
        <f t="shared" si="0"/>
        <v>4400</v>
      </c>
      <c r="R6" s="14">
        <f t="shared" si="0"/>
        <v>4400</v>
      </c>
      <c r="S6" s="14">
        <f t="shared" si="0"/>
        <v>4400</v>
      </c>
      <c r="T6" s="14">
        <f t="shared" si="0"/>
        <v>4400</v>
      </c>
      <c r="U6" s="14">
        <f t="shared" si="0"/>
        <v>4400</v>
      </c>
      <c r="V6" s="14">
        <f t="shared" si="0"/>
        <v>4400</v>
      </c>
      <c r="W6" s="14">
        <f t="shared" si="0"/>
        <v>4400</v>
      </c>
      <c r="X6" s="14">
        <f t="shared" si="0"/>
        <v>4400</v>
      </c>
      <c r="Y6" s="14">
        <f t="shared" si="0"/>
        <v>0</v>
      </c>
    </row>
    <row r="7" spans="1:28" ht="15" customHeight="1" x14ac:dyDescent="0.2">
      <c r="A7" s="3" t="s">
        <v>168</v>
      </c>
      <c r="B7" s="17">
        <f>B6*Assumptions!$B$34</f>
        <v>0</v>
      </c>
      <c r="C7" s="17">
        <f>C6*Assumptions!$B$34</f>
        <v>0</v>
      </c>
      <c r="D7" s="17">
        <f>D6*Assumptions!$B$34</f>
        <v>0</v>
      </c>
      <c r="E7" s="17">
        <f>E6*Assumptions!$B$34</f>
        <v>0</v>
      </c>
      <c r="F7" s="17">
        <f>F6*Assumptions!$B$34</f>
        <v>0</v>
      </c>
      <c r="G7" s="17">
        <f>G6*Assumptions!$B$34</f>
        <v>0</v>
      </c>
      <c r="H7" s="17">
        <f>H6*Assumptions!$B$34</f>
        <v>0</v>
      </c>
      <c r="I7" s="17">
        <f>I6*Assumptions!$B$34</f>
        <v>0</v>
      </c>
      <c r="J7" s="17">
        <f>J6*Assumptions!$B$34</f>
        <v>220000</v>
      </c>
      <c r="K7" s="17">
        <f>K6*Assumptions!$B$34</f>
        <v>220000</v>
      </c>
      <c r="L7" s="17">
        <f>L6*Assumptions!$B$34</f>
        <v>220000</v>
      </c>
      <c r="M7" s="17">
        <f>M6*Assumptions!$B$34</f>
        <v>220000</v>
      </c>
      <c r="N7" s="17">
        <f>N6*Assumptions!$B$34</f>
        <v>220000</v>
      </c>
      <c r="O7" s="17">
        <f>O6*Assumptions!$B$34</f>
        <v>220000</v>
      </c>
      <c r="P7" s="17">
        <f>P6*Assumptions!$B$34</f>
        <v>220000</v>
      </c>
      <c r="Q7" s="17">
        <f>Q6*Assumptions!$B$34</f>
        <v>220000</v>
      </c>
      <c r="R7" s="17">
        <f>R6*Assumptions!$B$34</f>
        <v>220000</v>
      </c>
      <c r="S7" s="17">
        <f>S6*Assumptions!$B$34</f>
        <v>220000</v>
      </c>
      <c r="T7" s="17">
        <f>T6*Assumptions!$B$34</f>
        <v>220000</v>
      </c>
      <c r="U7" s="17">
        <f>U6*Assumptions!$B$34</f>
        <v>220000</v>
      </c>
      <c r="V7" s="17">
        <f>V6*Assumptions!$B$34</f>
        <v>220000</v>
      </c>
      <c r="W7" s="17">
        <f>W6*Assumptions!$B$34</f>
        <v>220000</v>
      </c>
      <c r="X7" s="17">
        <f>X6*Assumptions!$B$34</f>
        <v>220000</v>
      </c>
      <c r="Y7" s="17">
        <f>Y6*Assumptions!$B$34</f>
        <v>0</v>
      </c>
    </row>
    <row r="8" spans="1:28" ht="15" customHeight="1" x14ac:dyDescent="0.2">
      <c r="A8" s="3" t="s">
        <v>169</v>
      </c>
      <c r="B8" s="17">
        <f>B7*Assumptions!$B$37*Assumptions!$B$40</f>
        <v>0</v>
      </c>
      <c r="C8" s="17">
        <f>C7*Assumptions!$B$37*Assumptions!$B$40</f>
        <v>0</v>
      </c>
      <c r="D8" s="17">
        <f>D7*Assumptions!$B$37*Assumptions!$B$40</f>
        <v>0</v>
      </c>
      <c r="E8" s="17">
        <f>E7*Assumptions!$B$37*Assumptions!$B$40</f>
        <v>0</v>
      </c>
      <c r="F8" s="17">
        <f>F7*Assumptions!$B$37*Assumptions!$B$40</f>
        <v>0</v>
      </c>
      <c r="G8" s="17">
        <f>G7*Assumptions!$B$37*Assumptions!$B$40</f>
        <v>0</v>
      </c>
      <c r="H8" s="17">
        <f>H7*Assumptions!$B$37*Assumptions!$B$40</f>
        <v>0</v>
      </c>
      <c r="I8" s="17">
        <f>I7*Assumptions!$B$37*Assumptions!$B$40</f>
        <v>0</v>
      </c>
      <c r="J8" s="17">
        <f>J7*Assumptions!$B$37*Assumptions!$B$40</f>
        <v>550</v>
      </c>
      <c r="K8" s="17">
        <f>K7*Assumptions!$B$37*Assumptions!$B$40</f>
        <v>550</v>
      </c>
      <c r="L8" s="17">
        <f>L7*Assumptions!$B$37*Assumptions!$B$40</f>
        <v>550</v>
      </c>
      <c r="M8" s="17">
        <f>M7*Assumptions!$B$37*Assumptions!$B$40</f>
        <v>550</v>
      </c>
      <c r="N8" s="17">
        <f>N7*Assumptions!$B$37*Assumptions!$B$40</f>
        <v>550</v>
      </c>
      <c r="O8" s="17">
        <f>O7*Assumptions!$B$37*Assumptions!$B$40</f>
        <v>550</v>
      </c>
      <c r="P8" s="17">
        <f>P7*Assumptions!$B$37*Assumptions!$B$40</f>
        <v>550</v>
      </c>
      <c r="Q8" s="17">
        <f>Q7*Assumptions!$B$37*Assumptions!$B$40</f>
        <v>550</v>
      </c>
      <c r="R8" s="17">
        <f>R7*Assumptions!$B$37*Assumptions!$B$40</f>
        <v>550</v>
      </c>
      <c r="S8" s="17">
        <f>S7*Assumptions!$B$37*Assumptions!$B$40</f>
        <v>550</v>
      </c>
      <c r="T8" s="17">
        <f>T7*Assumptions!$B$37*Assumptions!$B$40</f>
        <v>550</v>
      </c>
      <c r="U8" s="17">
        <f>U7*Assumptions!$B$37*Assumptions!$B$40</f>
        <v>550</v>
      </c>
      <c r="V8" s="17">
        <f>V7*Assumptions!$B$37*Assumptions!$B$40</f>
        <v>550</v>
      </c>
      <c r="W8" s="17">
        <f>W7*Assumptions!$B$37*Assumptions!$B$40</f>
        <v>550</v>
      </c>
      <c r="X8" s="17">
        <f>X7*Assumptions!$B$37*Assumptions!$B$40</f>
        <v>550</v>
      </c>
      <c r="Y8" s="17">
        <f>Y7*Assumptions!$B$37*Assumptions!$B$40</f>
        <v>0</v>
      </c>
    </row>
    <row r="9" spans="1:28" ht="15" customHeight="1" x14ac:dyDescent="0.2">
      <c r="A9" s="3" t="s">
        <v>170</v>
      </c>
      <c r="B9" s="17">
        <f>B5*(Assumptions!$B$36/12)*Assumptions!$B$38*Assumptions!$B$40</f>
        <v>0</v>
      </c>
      <c r="C9" s="17">
        <f>C5*(Assumptions!$B$36/12)*Assumptions!$B$38*Assumptions!$B$40</f>
        <v>0</v>
      </c>
      <c r="D9" s="17">
        <f>D5*(Assumptions!$B$36/12)*Assumptions!$B$38*Assumptions!$B$40</f>
        <v>0</v>
      </c>
      <c r="E9" s="17">
        <f>E5*(Assumptions!$B$36/12)*Assumptions!$B$38*Assumptions!$B$40</f>
        <v>0</v>
      </c>
      <c r="F9" s="17">
        <f>F5*(Assumptions!$B$36/12)*Assumptions!$B$38*Assumptions!$B$40</f>
        <v>0</v>
      </c>
      <c r="G9" s="17">
        <f>G5*(Assumptions!$B$36/12)*Assumptions!$B$38*Assumptions!$B$40</f>
        <v>0</v>
      </c>
      <c r="H9" s="17">
        <f>H5*(Assumptions!$B$36/12)*Assumptions!$B$38*Assumptions!$B$40</f>
        <v>0</v>
      </c>
      <c r="I9" s="17">
        <f>I5*(Assumptions!$B$36/12)*Assumptions!$B$38*Assumptions!$B$40</f>
        <v>0</v>
      </c>
      <c r="J9" s="17">
        <f>J5*(Assumptions!$B$36/12)*Assumptions!$B$38*Assumptions!$B$40</f>
        <v>4400</v>
      </c>
      <c r="K9" s="17">
        <f>K5*(Assumptions!$B$36/12)*Assumptions!$B$38*Assumptions!$B$40</f>
        <v>8800</v>
      </c>
      <c r="L9" s="17">
        <f>L5*(Assumptions!$B$36/12)*Assumptions!$B$38*Assumptions!$B$40</f>
        <v>13200</v>
      </c>
      <c r="M9" s="17">
        <f>M5*(Assumptions!$B$36/12)*Assumptions!$B$38*Assumptions!$B$40</f>
        <v>17600</v>
      </c>
      <c r="N9" s="17">
        <f>N5*(Assumptions!$B$36/12)*Assumptions!$B$38*Assumptions!$B$40</f>
        <v>22000</v>
      </c>
      <c r="O9" s="17">
        <f>O5*(Assumptions!$B$36/12)*Assumptions!$B$38*Assumptions!$B$40</f>
        <v>26400</v>
      </c>
      <c r="P9" s="17">
        <f>P5*(Assumptions!$B$36/12)*Assumptions!$B$38*Assumptions!$B$40</f>
        <v>30800</v>
      </c>
      <c r="Q9" s="17">
        <f>Q5*(Assumptions!$B$36/12)*Assumptions!$B$38*Assumptions!$B$40</f>
        <v>35200</v>
      </c>
      <c r="R9" s="17">
        <f>R5*(Assumptions!$B$36/12)*Assumptions!$B$38*Assumptions!$B$40</f>
        <v>39600</v>
      </c>
      <c r="S9" s="17">
        <f>S5*(Assumptions!$B$36/12)*Assumptions!$B$38*Assumptions!$B$40</f>
        <v>44000</v>
      </c>
      <c r="T9" s="17">
        <f>T5*(Assumptions!$B$36/12)*Assumptions!$B$38*Assumptions!$B$40</f>
        <v>48400</v>
      </c>
      <c r="U9" s="17">
        <f>U5*(Assumptions!$B$36/12)*Assumptions!$B$38*Assumptions!$B$40</f>
        <v>52800</v>
      </c>
      <c r="V9" s="17">
        <f>V5*(Assumptions!$B$36/12)*Assumptions!$B$38*Assumptions!$B$40</f>
        <v>57200</v>
      </c>
      <c r="W9" s="17">
        <f>W5*(Assumptions!$B$36/12)*Assumptions!$B$38*Assumptions!$B$40</f>
        <v>61600</v>
      </c>
      <c r="X9" s="17">
        <f>X5*(Assumptions!$B$36/12)*Assumptions!$B$38*Assumptions!$B$40</f>
        <v>66000</v>
      </c>
      <c r="Y9" s="17">
        <f>Y5*(Assumptions!$B$36/12)*Assumptions!$B$38*Assumptions!$B$40</f>
        <v>66000</v>
      </c>
    </row>
    <row r="10" spans="1:28" ht="15" customHeight="1" x14ac:dyDescent="0.2">
      <c r="A10" s="3" t="s">
        <v>171</v>
      </c>
      <c r="B10" s="17">
        <f>B5*Assumptions!$B$34*(Assumptions!$B$39/12)*Assumptions!$B$40</f>
        <v>0</v>
      </c>
      <c r="C10" s="17">
        <f>C5*Assumptions!$B$34*(Assumptions!$B$39/12)*Assumptions!$B$40</f>
        <v>0</v>
      </c>
      <c r="D10" s="17">
        <f>D5*Assumptions!$B$34*(Assumptions!$B$39/12)*Assumptions!$B$40</f>
        <v>0</v>
      </c>
      <c r="E10" s="17">
        <f>E5*Assumptions!$B$34*(Assumptions!$B$39/12)*Assumptions!$B$40</f>
        <v>0</v>
      </c>
      <c r="F10" s="17">
        <f>F5*Assumptions!$B$34*(Assumptions!$B$39/12)*Assumptions!$B$40</f>
        <v>0</v>
      </c>
      <c r="G10" s="17">
        <f>G5*Assumptions!$B$34*(Assumptions!$B$39/12)*Assumptions!$B$40</f>
        <v>0</v>
      </c>
      <c r="H10" s="17">
        <f>H5*Assumptions!$B$34*(Assumptions!$B$39/12)*Assumptions!$B$40</f>
        <v>0</v>
      </c>
      <c r="I10" s="17">
        <f>I5*Assumptions!$B$34*(Assumptions!$B$39/12)*Assumptions!$B$40</f>
        <v>0</v>
      </c>
      <c r="J10" s="17">
        <f>J5*Assumptions!$B$34*(Assumptions!$B$39/12)*Assumptions!$B$40</f>
        <v>137.5</v>
      </c>
      <c r="K10" s="17">
        <f>K5*Assumptions!$B$34*(Assumptions!$B$39/12)*Assumptions!$B$40</f>
        <v>275</v>
      </c>
      <c r="L10" s="17">
        <f>L5*Assumptions!$B$34*(Assumptions!$B$39/12)*Assumptions!$B$40</f>
        <v>412.5</v>
      </c>
      <c r="M10" s="17">
        <f>M5*Assumptions!$B$34*(Assumptions!$B$39/12)*Assumptions!$B$40</f>
        <v>550</v>
      </c>
      <c r="N10" s="17">
        <f>N5*Assumptions!$B$34*(Assumptions!$B$39/12)*Assumptions!$B$40</f>
        <v>687.5</v>
      </c>
      <c r="O10" s="17">
        <f>O5*Assumptions!$B$34*(Assumptions!$B$39/12)*Assumptions!$B$40</f>
        <v>825</v>
      </c>
      <c r="P10" s="17">
        <f>P5*Assumptions!$B$34*(Assumptions!$B$39/12)*Assumptions!$B$40</f>
        <v>962.5</v>
      </c>
      <c r="Q10" s="17">
        <f>Q5*Assumptions!$B$34*(Assumptions!$B$39/12)*Assumptions!$B$40</f>
        <v>1100</v>
      </c>
      <c r="R10" s="17">
        <f>R5*Assumptions!$B$34*(Assumptions!$B$39/12)*Assumptions!$B$40</f>
        <v>1237.5</v>
      </c>
      <c r="S10" s="17">
        <f>S5*Assumptions!$B$34*(Assumptions!$B$39/12)*Assumptions!$B$40</f>
        <v>1375</v>
      </c>
      <c r="T10" s="17">
        <f>T5*Assumptions!$B$34*(Assumptions!$B$39/12)*Assumptions!$B$40</f>
        <v>1512.5</v>
      </c>
      <c r="U10" s="17">
        <f>U5*Assumptions!$B$34*(Assumptions!$B$39/12)*Assumptions!$B$40</f>
        <v>1650</v>
      </c>
      <c r="V10" s="17">
        <f>V5*Assumptions!$B$34*(Assumptions!$B$39/12)*Assumptions!$B$40</f>
        <v>1787.5</v>
      </c>
      <c r="W10" s="17">
        <f>W5*Assumptions!$B$34*(Assumptions!$B$39/12)*Assumptions!$B$40</f>
        <v>1925</v>
      </c>
      <c r="X10" s="17">
        <f>X5*Assumptions!$B$34*(Assumptions!$B$39/12)*Assumptions!$B$40</f>
        <v>2062.5</v>
      </c>
      <c r="Y10" s="17">
        <f>Y5*Assumptions!$B$34*(Assumptions!$B$39/12)*Assumptions!$B$40</f>
        <v>2062.5</v>
      </c>
    </row>
    <row r="11" spans="1:28" ht="15" customHeight="1" x14ac:dyDescent="0.2">
      <c r="A11" s="1" t="s">
        <v>172</v>
      </c>
      <c r="B11" s="19">
        <f t="shared" ref="B11:Y11" si="1">SUM(B8:B10)</f>
        <v>0</v>
      </c>
      <c r="C11" s="19">
        <f t="shared" si="1"/>
        <v>0</v>
      </c>
      <c r="D11" s="19">
        <f t="shared" si="1"/>
        <v>0</v>
      </c>
      <c r="E11" s="19">
        <f t="shared" si="1"/>
        <v>0</v>
      </c>
      <c r="F11" s="19">
        <f t="shared" si="1"/>
        <v>0</v>
      </c>
      <c r="G11" s="19">
        <f t="shared" si="1"/>
        <v>0</v>
      </c>
      <c r="H11" s="19">
        <f t="shared" si="1"/>
        <v>0</v>
      </c>
      <c r="I11" s="19">
        <f t="shared" si="1"/>
        <v>0</v>
      </c>
      <c r="J11" s="19">
        <f t="shared" si="1"/>
        <v>5087.5</v>
      </c>
      <c r="K11" s="19">
        <f t="shared" si="1"/>
        <v>9625</v>
      </c>
      <c r="L11" s="19">
        <f t="shared" si="1"/>
        <v>14162.5</v>
      </c>
      <c r="M11" s="19">
        <f t="shared" si="1"/>
        <v>18700</v>
      </c>
      <c r="N11" s="19">
        <f t="shared" si="1"/>
        <v>23237.5</v>
      </c>
      <c r="O11" s="19">
        <f t="shared" si="1"/>
        <v>27775</v>
      </c>
      <c r="P11" s="19">
        <f t="shared" si="1"/>
        <v>32312.5</v>
      </c>
      <c r="Q11" s="19">
        <f t="shared" si="1"/>
        <v>36850</v>
      </c>
      <c r="R11" s="19">
        <f t="shared" si="1"/>
        <v>41387.5</v>
      </c>
      <c r="S11" s="19">
        <f t="shared" si="1"/>
        <v>45925</v>
      </c>
      <c r="T11" s="19">
        <f t="shared" si="1"/>
        <v>50462.5</v>
      </c>
      <c r="U11" s="19">
        <f t="shared" si="1"/>
        <v>55000</v>
      </c>
      <c r="V11" s="19">
        <f t="shared" si="1"/>
        <v>59537.5</v>
      </c>
      <c r="W11" s="19">
        <f t="shared" si="1"/>
        <v>64075</v>
      </c>
      <c r="X11" s="19">
        <f t="shared" si="1"/>
        <v>68612.5</v>
      </c>
      <c r="Y11" s="19">
        <f t="shared" si="1"/>
        <v>68062.5</v>
      </c>
      <c r="Z11" s="20">
        <f>SUM(B11:M11)</f>
        <v>47575</v>
      </c>
      <c r="AA11" s="20">
        <f>SUM(N11:Y11)</f>
        <v>573237.5</v>
      </c>
    </row>
  </sheetData>
  <mergeCells count="2">
    <mergeCell ref="A1:AB1"/>
    <mergeCell ref="A2:AB2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21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6" sqref="E6"/>
    </sheetView>
  </sheetViews>
  <sheetFormatPr baseColWidth="10" defaultColWidth="8.6640625" defaultRowHeight="15" x14ac:dyDescent="0.2"/>
  <cols>
    <col min="1" max="1" width="32" customWidth="1"/>
    <col min="2" max="25" width="11" customWidth="1"/>
    <col min="26" max="27" width="13" customWidth="1"/>
  </cols>
  <sheetData>
    <row r="1" spans="1:28" ht="27.75" customHeight="1" x14ac:dyDescent="0.2">
      <c r="A1" s="46" t="s">
        <v>173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</row>
    <row r="4" spans="1:28" ht="15" customHeight="1" x14ac:dyDescent="0.2">
      <c r="A4" s="5" t="s">
        <v>126</v>
      </c>
      <c r="B4" s="5" t="s">
        <v>55</v>
      </c>
      <c r="C4" s="5" t="s">
        <v>127</v>
      </c>
      <c r="D4" s="5" t="s">
        <v>128</v>
      </c>
      <c r="E4" s="5" t="s">
        <v>129</v>
      </c>
      <c r="F4" s="5" t="s">
        <v>130</v>
      </c>
      <c r="G4" s="5" t="s">
        <v>131</v>
      </c>
      <c r="H4" s="5" t="s">
        <v>132</v>
      </c>
      <c r="I4" s="5" t="s">
        <v>133</v>
      </c>
      <c r="J4" s="5" t="s">
        <v>134</v>
      </c>
      <c r="K4" s="5" t="s">
        <v>135</v>
      </c>
      <c r="L4" s="5" t="s">
        <v>136</v>
      </c>
      <c r="M4" s="5" t="s">
        <v>137</v>
      </c>
      <c r="N4" s="5" t="s">
        <v>138</v>
      </c>
      <c r="O4" s="5" t="s">
        <v>139</v>
      </c>
      <c r="P4" s="5" t="s">
        <v>140</v>
      </c>
      <c r="Q4" s="5" t="s">
        <v>141</v>
      </c>
      <c r="R4" s="5" t="s">
        <v>142</v>
      </c>
      <c r="S4" s="5" t="s">
        <v>143</v>
      </c>
      <c r="T4" s="5" t="s">
        <v>144</v>
      </c>
      <c r="U4" s="5" t="s">
        <v>145</v>
      </c>
      <c r="V4" s="5" t="s">
        <v>146</v>
      </c>
      <c r="W4" s="5" t="s">
        <v>147</v>
      </c>
      <c r="X4" s="5" t="s">
        <v>148</v>
      </c>
      <c r="Y4" s="5" t="s">
        <v>149</v>
      </c>
      <c r="Z4" s="5" t="s">
        <v>150</v>
      </c>
      <c r="AA4" s="5" t="s">
        <v>151</v>
      </c>
    </row>
    <row r="5" spans="1:28" ht="15" customHeight="1" x14ac:dyDescent="0.2">
      <c r="A5" s="45" t="s">
        <v>174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</row>
    <row r="6" spans="1:28" ht="15" customHeight="1" x14ac:dyDescent="0.2">
      <c r="A6" s="3" t="s">
        <v>175</v>
      </c>
      <c r="B6" s="16">
        <f>'Property Sales'!B8</f>
        <v>20000</v>
      </c>
      <c r="C6" s="16">
        <f>'Property Sales'!C8</f>
        <v>22500</v>
      </c>
      <c r="D6" s="16">
        <f>'Property Sales'!D8</f>
        <v>30000</v>
      </c>
      <c r="E6" s="16">
        <f>'Property Sales'!E8</f>
        <v>33000</v>
      </c>
      <c r="F6" s="16">
        <f>'Property Sales'!F8</f>
        <v>36300.000000000007</v>
      </c>
      <c r="G6" s="16">
        <f>'Property Sales'!G8</f>
        <v>39930.000000000015</v>
      </c>
      <c r="H6" s="16">
        <f>'Property Sales'!H8</f>
        <v>43923.000000000015</v>
      </c>
      <c r="I6" s="16">
        <f>'Property Sales'!I8</f>
        <v>48315.300000000017</v>
      </c>
      <c r="J6" s="16">
        <f>'Property Sales'!J8</f>
        <v>53146.830000000031</v>
      </c>
      <c r="K6" s="16">
        <f>'Property Sales'!K8</f>
        <v>58461.513000000035</v>
      </c>
      <c r="L6" s="16">
        <f>'Property Sales'!L8</f>
        <v>64307.66430000004</v>
      </c>
      <c r="M6" s="16">
        <f>'Property Sales'!M8</f>
        <v>70738.430730000051</v>
      </c>
      <c r="N6" s="16">
        <f>'Property Sales'!N8</f>
        <v>77812.273803000047</v>
      </c>
      <c r="O6" s="16">
        <f>'Property Sales'!O8</f>
        <v>85593.501183300061</v>
      </c>
      <c r="P6" s="16">
        <f>'Property Sales'!P8</f>
        <v>94152.851301630071</v>
      </c>
      <c r="Q6" s="16">
        <f>'Property Sales'!Q8</f>
        <v>103568.13643179309</v>
      </c>
      <c r="R6" s="16">
        <f>'Property Sales'!R8</f>
        <v>113924.95007497241</v>
      </c>
      <c r="S6" s="16">
        <f>'Property Sales'!S8</f>
        <v>125317.44508246967</v>
      </c>
      <c r="T6" s="16">
        <f>'Property Sales'!T8</f>
        <v>137849.18959071665</v>
      </c>
      <c r="U6" s="16">
        <f>'Property Sales'!U8</f>
        <v>151634.10854978833</v>
      </c>
      <c r="V6" s="16">
        <f>'Property Sales'!V8</f>
        <v>166797.5194047672</v>
      </c>
      <c r="W6" s="16">
        <f>'Property Sales'!W8</f>
        <v>183477.27134524391</v>
      </c>
      <c r="X6" s="16">
        <f>'Property Sales'!X8</f>
        <v>201824.99847976831</v>
      </c>
      <c r="Y6" s="16">
        <f>'Property Sales'!Y8</f>
        <v>222007.49832774518</v>
      </c>
      <c r="Z6" s="18">
        <f>SUM(B6:M6)</f>
        <v>520622.73803000024</v>
      </c>
      <c r="AA6" s="18">
        <f>SUM(N6:Y6)</f>
        <v>1663959.7435751951</v>
      </c>
    </row>
    <row r="7" spans="1:28" ht="15" customHeight="1" x14ac:dyDescent="0.2">
      <c r="A7" s="3" t="s">
        <v>176</v>
      </c>
      <c r="B7" s="16">
        <f>'AI Agent'!B7</f>
        <v>8333.3333333333339</v>
      </c>
      <c r="C7" s="16">
        <f>'AI Agent'!C7</f>
        <v>8333.3333333333339</v>
      </c>
      <c r="D7" s="16">
        <f>'AI Agent'!D7</f>
        <v>16666.666666666668</v>
      </c>
      <c r="E7" s="16">
        <f>'AI Agent'!E7</f>
        <v>16666.666666666668</v>
      </c>
      <c r="F7" s="16">
        <f>'AI Agent'!F7</f>
        <v>16666.666666666668</v>
      </c>
      <c r="G7" s="16">
        <f>'AI Agent'!G7</f>
        <v>25000</v>
      </c>
      <c r="H7" s="16">
        <f>'AI Agent'!H7</f>
        <v>25000</v>
      </c>
      <c r="I7" s="16">
        <f>'AI Agent'!I7</f>
        <v>25000</v>
      </c>
      <c r="J7" s="16">
        <f>'AI Agent'!J7</f>
        <v>33333.333333333336</v>
      </c>
      <c r="K7" s="16">
        <f>'AI Agent'!K7</f>
        <v>33333.333333333336</v>
      </c>
      <c r="L7" s="16">
        <f>'AI Agent'!L7</f>
        <v>33333.333333333336</v>
      </c>
      <c r="M7" s="16">
        <f>'AI Agent'!M7</f>
        <v>41666.666666666672</v>
      </c>
      <c r="N7" s="16">
        <f>'AI Agent'!N7</f>
        <v>41666.666666666672</v>
      </c>
      <c r="O7" s="16">
        <f>'AI Agent'!O7</f>
        <v>41666.666666666672</v>
      </c>
      <c r="P7" s="16">
        <f>'AI Agent'!P7</f>
        <v>50000</v>
      </c>
      <c r="Q7" s="16">
        <f>'AI Agent'!Q7</f>
        <v>50000</v>
      </c>
      <c r="R7" s="16">
        <f>'AI Agent'!R7</f>
        <v>50000</v>
      </c>
      <c r="S7" s="16">
        <f>'AI Agent'!S7</f>
        <v>50000</v>
      </c>
      <c r="T7" s="16">
        <f>'AI Agent'!T7</f>
        <v>50000</v>
      </c>
      <c r="U7" s="16">
        <f>'AI Agent'!U7</f>
        <v>50000</v>
      </c>
      <c r="V7" s="16">
        <f>'AI Agent'!V7</f>
        <v>50000</v>
      </c>
      <c r="W7" s="16">
        <f>'AI Agent'!W7</f>
        <v>50000</v>
      </c>
      <c r="X7" s="16">
        <f>'AI Agent'!X7</f>
        <v>50000</v>
      </c>
      <c r="Y7" s="16">
        <f>'AI Agent'!Y7</f>
        <v>50000</v>
      </c>
      <c r="Z7" s="18">
        <f>SUM(B7:M7)</f>
        <v>283333.33333333337</v>
      </c>
      <c r="AA7" s="18">
        <f>SUM(N7:Y7)</f>
        <v>583333.33333333337</v>
      </c>
    </row>
    <row r="8" spans="1:28" ht="15" customHeight="1" x14ac:dyDescent="0.2">
      <c r="A8" s="3" t="s">
        <v>177</v>
      </c>
      <c r="B8" s="16">
        <f>RWA!B11</f>
        <v>0</v>
      </c>
      <c r="C8" s="16">
        <f>RWA!C11</f>
        <v>0</v>
      </c>
      <c r="D8" s="16">
        <f>RWA!D11</f>
        <v>0</v>
      </c>
      <c r="E8" s="16">
        <f>RWA!E11</f>
        <v>0</v>
      </c>
      <c r="F8" s="16">
        <f>RWA!F11</f>
        <v>0</v>
      </c>
      <c r="G8" s="16">
        <f>RWA!G11</f>
        <v>0</v>
      </c>
      <c r="H8" s="16">
        <f>RWA!H11</f>
        <v>0</v>
      </c>
      <c r="I8" s="16">
        <f>RWA!I11</f>
        <v>0</v>
      </c>
      <c r="J8" s="16">
        <f>RWA!J11</f>
        <v>5087.5</v>
      </c>
      <c r="K8" s="16">
        <f>RWA!K11</f>
        <v>9625</v>
      </c>
      <c r="L8" s="16">
        <f>RWA!L11</f>
        <v>14162.5</v>
      </c>
      <c r="M8" s="16">
        <f>RWA!M11</f>
        <v>18700</v>
      </c>
      <c r="N8" s="16">
        <f>RWA!N11</f>
        <v>23237.5</v>
      </c>
      <c r="O8" s="16">
        <f>RWA!O11</f>
        <v>27775</v>
      </c>
      <c r="P8" s="16">
        <f>RWA!P11</f>
        <v>32312.5</v>
      </c>
      <c r="Q8" s="16">
        <f>RWA!Q11</f>
        <v>36850</v>
      </c>
      <c r="R8" s="16">
        <f>RWA!R11</f>
        <v>41387.5</v>
      </c>
      <c r="S8" s="16">
        <f>RWA!S11</f>
        <v>45925</v>
      </c>
      <c r="T8" s="16">
        <f>RWA!T11</f>
        <v>50462.5</v>
      </c>
      <c r="U8" s="16">
        <f>RWA!U11</f>
        <v>55000</v>
      </c>
      <c r="V8" s="16">
        <f>RWA!V11</f>
        <v>59537.5</v>
      </c>
      <c r="W8" s="16">
        <f>RWA!W11</f>
        <v>64075</v>
      </c>
      <c r="X8" s="16">
        <f>RWA!X11</f>
        <v>68612.5</v>
      </c>
      <c r="Y8" s="16">
        <f>RWA!Y11</f>
        <v>68062.5</v>
      </c>
      <c r="Z8" s="18">
        <f>SUM(B8:M8)</f>
        <v>47575</v>
      </c>
      <c r="AA8" s="18">
        <f>SUM(N8:Y8)</f>
        <v>573237.5</v>
      </c>
    </row>
    <row r="9" spans="1:28" ht="15" customHeight="1" x14ac:dyDescent="0.2">
      <c r="A9" s="21" t="s">
        <v>178</v>
      </c>
      <c r="B9" s="22">
        <f t="shared" ref="B9:Y9" si="0">SUM(B6:B8)</f>
        <v>28333.333333333336</v>
      </c>
      <c r="C9" s="22">
        <f t="shared" si="0"/>
        <v>30833.333333333336</v>
      </c>
      <c r="D9" s="22">
        <f t="shared" si="0"/>
        <v>46666.666666666672</v>
      </c>
      <c r="E9" s="22">
        <f t="shared" si="0"/>
        <v>49666.666666666672</v>
      </c>
      <c r="F9" s="22">
        <f t="shared" si="0"/>
        <v>52966.666666666672</v>
      </c>
      <c r="G9" s="22">
        <f t="shared" si="0"/>
        <v>64930.000000000015</v>
      </c>
      <c r="H9" s="22">
        <f t="shared" si="0"/>
        <v>68923.000000000015</v>
      </c>
      <c r="I9" s="22">
        <f t="shared" si="0"/>
        <v>73315.300000000017</v>
      </c>
      <c r="J9" s="22">
        <f t="shared" si="0"/>
        <v>91567.663333333359</v>
      </c>
      <c r="K9" s="22">
        <f t="shared" si="0"/>
        <v>101419.84633333338</v>
      </c>
      <c r="L9" s="22">
        <f t="shared" si="0"/>
        <v>111803.49763333338</v>
      </c>
      <c r="M9" s="22">
        <f t="shared" si="0"/>
        <v>131105.09739666671</v>
      </c>
      <c r="N9" s="22">
        <f t="shared" si="0"/>
        <v>142716.44046966673</v>
      </c>
      <c r="O9" s="22">
        <f t="shared" si="0"/>
        <v>155035.16784996673</v>
      </c>
      <c r="P9" s="22">
        <f t="shared" si="0"/>
        <v>176465.35130163009</v>
      </c>
      <c r="Q9" s="22">
        <f t="shared" si="0"/>
        <v>190418.1364317931</v>
      </c>
      <c r="R9" s="22">
        <f t="shared" si="0"/>
        <v>205312.45007497241</v>
      </c>
      <c r="S9" s="22">
        <f t="shared" si="0"/>
        <v>221242.44508246967</v>
      </c>
      <c r="T9" s="22">
        <f t="shared" si="0"/>
        <v>238311.68959071665</v>
      </c>
      <c r="U9" s="22">
        <f t="shared" si="0"/>
        <v>256634.10854978833</v>
      </c>
      <c r="V9" s="22">
        <f t="shared" si="0"/>
        <v>276335.0194047672</v>
      </c>
      <c r="W9" s="22">
        <f t="shared" si="0"/>
        <v>297552.27134524391</v>
      </c>
      <c r="X9" s="22">
        <f t="shared" si="0"/>
        <v>320437.49847976828</v>
      </c>
      <c r="Y9" s="22">
        <f t="shared" si="0"/>
        <v>340069.99832774518</v>
      </c>
      <c r="Z9" s="22">
        <f>SUM(B9:M9)</f>
        <v>851531.07136333338</v>
      </c>
      <c r="AA9" s="22">
        <f>SUM(N9:Y9)</f>
        <v>2820530.5769085279</v>
      </c>
    </row>
    <row r="11" spans="1:28" ht="15" customHeight="1" x14ac:dyDescent="0.2">
      <c r="A11" s="45" t="s">
        <v>179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</row>
    <row r="12" spans="1:28" ht="15" customHeight="1" x14ac:dyDescent="0.2">
      <c r="A12" s="3" t="s">
        <v>180</v>
      </c>
      <c r="B12" s="16">
        <f>Assumptions!$B$44/24</f>
        <v>33333.333333333336</v>
      </c>
      <c r="C12" s="16">
        <f>Assumptions!$B$44/24</f>
        <v>33333.333333333336</v>
      </c>
      <c r="D12" s="16">
        <f>Assumptions!$B$44/24</f>
        <v>33333.333333333336</v>
      </c>
      <c r="E12" s="16">
        <f>Assumptions!$B$44/24</f>
        <v>33333.333333333336</v>
      </c>
      <c r="F12" s="16">
        <f>Assumptions!$B$44/24</f>
        <v>33333.333333333336</v>
      </c>
      <c r="G12" s="16">
        <f>Assumptions!$B$44/24</f>
        <v>33333.333333333336</v>
      </c>
      <c r="H12" s="16">
        <f>Assumptions!$B$44/24</f>
        <v>33333.333333333336</v>
      </c>
      <c r="I12" s="16">
        <f>Assumptions!$B$44/24</f>
        <v>33333.333333333336</v>
      </c>
      <c r="J12" s="16">
        <f>Assumptions!$B$44/24</f>
        <v>33333.333333333336</v>
      </c>
      <c r="K12" s="16">
        <f>Assumptions!$B$44/24</f>
        <v>33333.333333333336</v>
      </c>
      <c r="L12" s="16">
        <f>Assumptions!$B$44/24</f>
        <v>33333.333333333336</v>
      </c>
      <c r="M12" s="16">
        <f>Assumptions!$B$44/24</f>
        <v>33333.333333333336</v>
      </c>
      <c r="N12" s="16">
        <f>Assumptions!$B$44/24</f>
        <v>33333.333333333336</v>
      </c>
      <c r="O12" s="16">
        <f>Assumptions!$B$44/24</f>
        <v>33333.333333333336</v>
      </c>
      <c r="P12" s="16">
        <f>Assumptions!$B$44/24</f>
        <v>33333.333333333336</v>
      </c>
      <c r="Q12" s="16">
        <f>Assumptions!$B$44/24</f>
        <v>33333.333333333336</v>
      </c>
      <c r="R12" s="16">
        <f>Assumptions!$B$44/24</f>
        <v>33333.333333333336</v>
      </c>
      <c r="S12" s="16">
        <f>Assumptions!$B$44/24</f>
        <v>33333.333333333336</v>
      </c>
      <c r="T12" s="16">
        <f>Assumptions!$B$44/24</f>
        <v>33333.333333333336</v>
      </c>
      <c r="U12" s="16">
        <f>Assumptions!$B$44/24</f>
        <v>33333.333333333336</v>
      </c>
      <c r="V12" s="16">
        <f>Assumptions!$B$44/24</f>
        <v>33333.333333333336</v>
      </c>
      <c r="W12" s="16">
        <f>Assumptions!$B$44/24</f>
        <v>33333.333333333336</v>
      </c>
      <c r="X12" s="16">
        <f>Assumptions!$B$44/24</f>
        <v>33333.333333333336</v>
      </c>
      <c r="Y12" s="16">
        <f>Assumptions!$B$44/24</f>
        <v>33333.333333333336</v>
      </c>
      <c r="Z12" s="18">
        <f t="shared" ref="Z12:Z19" si="1">SUM(B12:M12)</f>
        <v>399999.99999999994</v>
      </c>
      <c r="AA12" s="18">
        <f t="shared" ref="AA12:AA19" si="2">SUM(N12:Y12)</f>
        <v>399999.99999999994</v>
      </c>
    </row>
    <row r="13" spans="1:28" ht="15" customHeight="1" x14ac:dyDescent="0.2">
      <c r="A13" s="3" t="s">
        <v>181</v>
      </c>
      <c r="B13" s="16">
        <f>'Property Sales'!B10</f>
        <v>6000</v>
      </c>
      <c r="C13" s="16">
        <f>'Property Sales'!C10</f>
        <v>6750</v>
      </c>
      <c r="D13" s="16">
        <f>'Property Sales'!D10</f>
        <v>9000</v>
      </c>
      <c r="E13" s="16">
        <f>'Property Sales'!E10</f>
        <v>9900</v>
      </c>
      <c r="F13" s="16">
        <f>'Property Sales'!F10</f>
        <v>10890.000000000002</v>
      </c>
      <c r="G13" s="16">
        <f>'Property Sales'!G10</f>
        <v>11979.000000000004</v>
      </c>
      <c r="H13" s="16">
        <f>'Property Sales'!H10</f>
        <v>13176.900000000005</v>
      </c>
      <c r="I13" s="16">
        <f>'Property Sales'!I10</f>
        <v>28989.180000000011</v>
      </c>
      <c r="J13" s="16">
        <f>'Property Sales'!J10</f>
        <v>31888.098000000013</v>
      </c>
      <c r="K13" s="16">
        <f>'Property Sales'!K10</f>
        <v>35076.907800000023</v>
      </c>
      <c r="L13" s="16">
        <f>'Property Sales'!L10</f>
        <v>38584.59858000002</v>
      </c>
      <c r="M13" s="16">
        <f>'Property Sales'!M10</f>
        <v>42443.058438000029</v>
      </c>
      <c r="N13" s="16">
        <f>'Property Sales'!N10</f>
        <v>46687.36428180003</v>
      </c>
      <c r="O13" s="16">
        <f>'Property Sales'!O10</f>
        <v>51356.100709980034</v>
      </c>
      <c r="P13" s="16">
        <f>'Property Sales'!P10</f>
        <v>112983.42156195607</v>
      </c>
      <c r="Q13" s="16">
        <f>'Property Sales'!Q10</f>
        <v>124281.76371815169</v>
      </c>
      <c r="R13" s="16">
        <f>'Property Sales'!R10</f>
        <v>136709.9400899669</v>
      </c>
      <c r="S13" s="16">
        <f>'Property Sales'!S10</f>
        <v>150380.9340989636</v>
      </c>
      <c r="T13" s="16">
        <f>'Property Sales'!T10</f>
        <v>165419.02750885996</v>
      </c>
      <c r="U13" s="16">
        <f>'Property Sales'!U10</f>
        <v>181960.93025974598</v>
      </c>
      <c r="V13" s="16">
        <f>'Property Sales'!V10</f>
        <v>200157.02328572058</v>
      </c>
      <c r="W13" s="16">
        <f>'Property Sales'!W10</f>
        <v>220172.72561429269</v>
      </c>
      <c r="X13" s="16">
        <f>'Property Sales'!X10</f>
        <v>242189.99817572199</v>
      </c>
      <c r="Y13" s="16">
        <f>'Property Sales'!Y10</f>
        <v>266408.99799329421</v>
      </c>
      <c r="Z13" s="18">
        <f t="shared" si="1"/>
        <v>244677.74281800012</v>
      </c>
      <c r="AA13" s="18">
        <f t="shared" si="2"/>
        <v>1898708.2272984537</v>
      </c>
    </row>
    <row r="14" spans="1:28" ht="15" customHeight="1" x14ac:dyDescent="0.2">
      <c r="A14" s="3" t="s">
        <v>182</v>
      </c>
      <c r="B14" s="16">
        <f>Assumptions!$B$46/24</f>
        <v>8333.3333333333339</v>
      </c>
      <c r="C14" s="16">
        <f>Assumptions!$B$46/24</f>
        <v>8333.3333333333339</v>
      </c>
      <c r="D14" s="16">
        <f>Assumptions!$B$46/24</f>
        <v>8333.3333333333339</v>
      </c>
      <c r="E14" s="16">
        <f>Assumptions!$B$46/24</f>
        <v>8333.3333333333339</v>
      </c>
      <c r="F14" s="16">
        <f>Assumptions!$B$46/24</f>
        <v>8333.3333333333339</v>
      </c>
      <c r="G14" s="16">
        <f>Assumptions!$B$46/24</f>
        <v>8333.3333333333339</v>
      </c>
      <c r="H14" s="16">
        <f>Assumptions!$B$46/24</f>
        <v>8333.3333333333339</v>
      </c>
      <c r="I14" s="16">
        <f>Assumptions!$B$46/24</f>
        <v>8333.3333333333339</v>
      </c>
      <c r="J14" s="16">
        <f>Assumptions!$B$46/24</f>
        <v>8333.3333333333339</v>
      </c>
      <c r="K14" s="16">
        <f>Assumptions!$B$46/24</f>
        <v>8333.3333333333339</v>
      </c>
      <c r="L14" s="16">
        <f>Assumptions!$B$46/24</f>
        <v>8333.3333333333339</v>
      </c>
      <c r="M14" s="16">
        <f>Assumptions!$B$46/24</f>
        <v>8333.3333333333339</v>
      </c>
      <c r="N14" s="16">
        <f>Assumptions!$B$46/24</f>
        <v>8333.3333333333339</v>
      </c>
      <c r="O14" s="16">
        <f>Assumptions!$B$46/24</f>
        <v>8333.3333333333339</v>
      </c>
      <c r="P14" s="16">
        <f>Assumptions!$B$46/24</f>
        <v>8333.3333333333339</v>
      </c>
      <c r="Q14" s="16">
        <f>Assumptions!$B$46/24</f>
        <v>8333.3333333333339</v>
      </c>
      <c r="R14" s="16">
        <f>Assumptions!$B$46/24</f>
        <v>8333.3333333333339</v>
      </c>
      <c r="S14" s="16">
        <f>Assumptions!$B$46/24</f>
        <v>8333.3333333333339</v>
      </c>
      <c r="T14" s="16">
        <f>Assumptions!$B$46/24</f>
        <v>8333.3333333333339</v>
      </c>
      <c r="U14" s="16">
        <f>Assumptions!$B$46/24</f>
        <v>8333.3333333333339</v>
      </c>
      <c r="V14" s="16">
        <f>Assumptions!$B$46/24</f>
        <v>8333.3333333333339</v>
      </c>
      <c r="W14" s="16">
        <f>Assumptions!$B$46/24</f>
        <v>8333.3333333333339</v>
      </c>
      <c r="X14" s="16">
        <f>Assumptions!$B$46/24</f>
        <v>8333.3333333333339</v>
      </c>
      <c r="Y14" s="16">
        <f>Assumptions!$B$46/24</f>
        <v>8333.3333333333339</v>
      </c>
      <c r="Z14" s="18">
        <f t="shared" si="1"/>
        <v>99999.999999999985</v>
      </c>
      <c r="AA14" s="18">
        <f t="shared" si="2"/>
        <v>99999.999999999985</v>
      </c>
    </row>
    <row r="15" spans="1:28" ht="15" customHeight="1" x14ac:dyDescent="0.2">
      <c r="A15" s="3" t="s">
        <v>183</v>
      </c>
      <c r="B15" s="17">
        <f>IF(1&lt;Assumptions!$B$32,0,Assumptions!$B$47/(24-Assumptions!$B$32+1))</f>
        <v>0</v>
      </c>
      <c r="C15" s="17">
        <f>IF(2&lt;Assumptions!$B$32,0,Assumptions!$B$47/(24-Assumptions!$B$32+1))</f>
        <v>0</v>
      </c>
      <c r="D15" s="17">
        <f>IF(3&lt;Assumptions!$B$32,0,Assumptions!$B$47/(24-Assumptions!$B$32+1))</f>
        <v>0</v>
      </c>
      <c r="E15" s="17">
        <f>IF(4&lt;Assumptions!$B$32,0,Assumptions!$B$47/(24-Assumptions!$B$32+1))</f>
        <v>0</v>
      </c>
      <c r="F15" s="17">
        <f>IF(5&lt;Assumptions!$B$32,0,Assumptions!$B$47/(24-Assumptions!$B$32+1))</f>
        <v>0</v>
      </c>
      <c r="G15" s="17">
        <f>IF(6&lt;Assumptions!$B$32,0,Assumptions!$B$47/(24-Assumptions!$B$32+1))</f>
        <v>0</v>
      </c>
      <c r="H15" s="17">
        <f>IF(7&lt;Assumptions!$B$32,0,Assumptions!$B$47/(24-Assumptions!$B$32+1))</f>
        <v>0</v>
      </c>
      <c r="I15" s="17">
        <f>IF(8&lt;Assumptions!$B$32,0,Assumptions!$B$47/(24-Assumptions!$B$32+1))</f>
        <v>0</v>
      </c>
      <c r="J15" s="17">
        <f>IF(9&lt;Assumptions!$B$32,0,Assumptions!$B$47/(24-Assumptions!$B$32+1))</f>
        <v>12500</v>
      </c>
      <c r="K15" s="17">
        <f>IF(10&lt;Assumptions!$B$32,0,Assumptions!$B$47/(24-Assumptions!$B$32+1))</f>
        <v>12500</v>
      </c>
      <c r="L15" s="17">
        <f>IF(11&lt;Assumptions!$B$32,0,Assumptions!$B$47/(24-Assumptions!$B$32+1))</f>
        <v>12500</v>
      </c>
      <c r="M15" s="17">
        <f>IF(12&lt;Assumptions!$B$32,0,Assumptions!$B$47/(24-Assumptions!$B$32+1))</f>
        <v>12500</v>
      </c>
      <c r="N15" s="17">
        <f>IF(13&lt;Assumptions!$B$32,0,Assumptions!$B$47/(24-Assumptions!$B$32+1))</f>
        <v>12500</v>
      </c>
      <c r="O15" s="17">
        <f>IF(14&lt;Assumptions!$B$32,0,Assumptions!$B$47/(24-Assumptions!$B$32+1))</f>
        <v>12500</v>
      </c>
      <c r="P15" s="17">
        <f>IF(15&lt;Assumptions!$B$32,0,Assumptions!$B$47/(24-Assumptions!$B$32+1))</f>
        <v>12500</v>
      </c>
      <c r="Q15" s="17">
        <f>IF(16&lt;Assumptions!$B$32,0,Assumptions!$B$47/(24-Assumptions!$B$32+1))</f>
        <v>12500</v>
      </c>
      <c r="R15" s="17">
        <f>IF(17&lt;Assumptions!$B$32,0,Assumptions!$B$47/(24-Assumptions!$B$32+1))</f>
        <v>12500</v>
      </c>
      <c r="S15" s="17">
        <f>IF(18&lt;Assumptions!$B$32,0,Assumptions!$B$47/(24-Assumptions!$B$32+1))</f>
        <v>12500</v>
      </c>
      <c r="T15" s="17">
        <f>IF(19&lt;Assumptions!$B$32,0,Assumptions!$B$47/(24-Assumptions!$B$32+1))</f>
        <v>12500</v>
      </c>
      <c r="U15" s="17">
        <f>IF(20&lt;Assumptions!$B$32,0,Assumptions!$B$47/(24-Assumptions!$B$32+1))</f>
        <v>12500</v>
      </c>
      <c r="V15" s="17">
        <f>IF(21&lt;Assumptions!$B$32,0,Assumptions!$B$47/(24-Assumptions!$B$32+1))</f>
        <v>12500</v>
      </c>
      <c r="W15" s="17">
        <f>IF(22&lt;Assumptions!$B$32,0,Assumptions!$B$47/(24-Assumptions!$B$32+1))</f>
        <v>12500</v>
      </c>
      <c r="X15" s="17">
        <f>IF(23&lt;Assumptions!$B$32,0,Assumptions!$B$47/(24-Assumptions!$B$32+1))</f>
        <v>12500</v>
      </c>
      <c r="Y15" s="17">
        <f>IF(24&lt;Assumptions!$B$32,0,Assumptions!$B$47/(24-Assumptions!$B$32+1))</f>
        <v>12500</v>
      </c>
      <c r="Z15" s="18">
        <f t="shared" si="1"/>
        <v>50000</v>
      </c>
      <c r="AA15" s="18">
        <f t="shared" si="2"/>
        <v>150000</v>
      </c>
    </row>
    <row r="16" spans="1:28" ht="15" customHeight="1" x14ac:dyDescent="0.2">
      <c r="A16" s="3" t="s">
        <v>184</v>
      </c>
      <c r="B16" s="16">
        <f>Assumptions!$B$48/24</f>
        <v>4166.666666666667</v>
      </c>
      <c r="C16" s="16">
        <f>Assumptions!$B$48/24</f>
        <v>4166.666666666667</v>
      </c>
      <c r="D16" s="16">
        <f>Assumptions!$B$48/24</f>
        <v>4166.666666666667</v>
      </c>
      <c r="E16" s="16">
        <f>Assumptions!$B$48/24</f>
        <v>4166.666666666667</v>
      </c>
      <c r="F16" s="16">
        <f>Assumptions!$B$48/24</f>
        <v>4166.666666666667</v>
      </c>
      <c r="G16" s="16">
        <f>Assumptions!$B$48/24</f>
        <v>4166.666666666667</v>
      </c>
      <c r="H16" s="16">
        <f>Assumptions!$B$48/24</f>
        <v>4166.666666666667</v>
      </c>
      <c r="I16" s="16">
        <f>Assumptions!$B$48/24</f>
        <v>4166.666666666667</v>
      </c>
      <c r="J16" s="16">
        <f>Assumptions!$B$48/24</f>
        <v>4166.666666666667</v>
      </c>
      <c r="K16" s="16">
        <f>Assumptions!$B$48/24</f>
        <v>4166.666666666667</v>
      </c>
      <c r="L16" s="16">
        <f>Assumptions!$B$48/24</f>
        <v>4166.666666666667</v>
      </c>
      <c r="M16" s="16">
        <f>Assumptions!$B$48/24</f>
        <v>4166.666666666667</v>
      </c>
      <c r="N16" s="16">
        <f>Assumptions!$B$48/24</f>
        <v>4166.666666666667</v>
      </c>
      <c r="O16" s="16">
        <f>Assumptions!$B$48/24</f>
        <v>4166.666666666667</v>
      </c>
      <c r="P16" s="16">
        <f>Assumptions!$B$48/24</f>
        <v>4166.666666666667</v>
      </c>
      <c r="Q16" s="16">
        <f>Assumptions!$B$48/24</f>
        <v>4166.666666666667</v>
      </c>
      <c r="R16" s="16">
        <f>Assumptions!$B$48/24</f>
        <v>4166.666666666667</v>
      </c>
      <c r="S16" s="16">
        <f>Assumptions!$B$48/24</f>
        <v>4166.666666666667</v>
      </c>
      <c r="T16" s="16">
        <f>Assumptions!$B$48/24</f>
        <v>4166.666666666667</v>
      </c>
      <c r="U16" s="16">
        <f>Assumptions!$B$48/24</f>
        <v>4166.666666666667</v>
      </c>
      <c r="V16" s="16">
        <f>Assumptions!$B$48/24</f>
        <v>4166.666666666667</v>
      </c>
      <c r="W16" s="16">
        <f>Assumptions!$B$48/24</f>
        <v>4166.666666666667</v>
      </c>
      <c r="X16" s="16">
        <f>Assumptions!$B$48/24</f>
        <v>4166.666666666667</v>
      </c>
      <c r="Y16" s="16">
        <f>Assumptions!$B$48/24</f>
        <v>4166.666666666667</v>
      </c>
      <c r="Z16" s="18">
        <f t="shared" si="1"/>
        <v>49999.999999999993</v>
      </c>
      <c r="AA16" s="18">
        <f t="shared" si="2"/>
        <v>49999.999999999993</v>
      </c>
    </row>
    <row r="17" spans="1:27" ht="15" customHeight="1" x14ac:dyDescent="0.2">
      <c r="A17" s="3" t="s">
        <v>185</v>
      </c>
      <c r="B17" s="16">
        <f>Assumptions!$B$49/24</f>
        <v>4166.666666666667</v>
      </c>
      <c r="C17" s="16">
        <f>Assumptions!$B$49/24</f>
        <v>4166.666666666667</v>
      </c>
      <c r="D17" s="16">
        <f>Assumptions!$B$49/24</f>
        <v>4166.666666666667</v>
      </c>
      <c r="E17" s="16">
        <f>Assumptions!$B$49/24</f>
        <v>4166.666666666667</v>
      </c>
      <c r="F17" s="16">
        <f>Assumptions!$B$49/24</f>
        <v>4166.666666666667</v>
      </c>
      <c r="G17" s="16">
        <f>Assumptions!$B$49/24</f>
        <v>4166.666666666667</v>
      </c>
      <c r="H17" s="16">
        <f>Assumptions!$B$49/24</f>
        <v>4166.666666666667</v>
      </c>
      <c r="I17" s="16">
        <f>Assumptions!$B$49/24</f>
        <v>4166.666666666667</v>
      </c>
      <c r="J17" s="16">
        <f>Assumptions!$B$49/24</f>
        <v>4166.666666666667</v>
      </c>
      <c r="K17" s="16">
        <f>Assumptions!$B$49/24</f>
        <v>4166.666666666667</v>
      </c>
      <c r="L17" s="16">
        <f>Assumptions!$B$49/24</f>
        <v>4166.666666666667</v>
      </c>
      <c r="M17" s="16">
        <f>Assumptions!$B$49/24</f>
        <v>4166.666666666667</v>
      </c>
      <c r="N17" s="16">
        <f>Assumptions!$B$49/24</f>
        <v>4166.666666666667</v>
      </c>
      <c r="O17" s="16">
        <f>Assumptions!$B$49/24</f>
        <v>4166.666666666667</v>
      </c>
      <c r="P17" s="16">
        <f>Assumptions!$B$49/24</f>
        <v>4166.666666666667</v>
      </c>
      <c r="Q17" s="16">
        <f>Assumptions!$B$49/24</f>
        <v>4166.666666666667</v>
      </c>
      <c r="R17" s="16">
        <f>Assumptions!$B$49/24</f>
        <v>4166.666666666667</v>
      </c>
      <c r="S17" s="16">
        <f>Assumptions!$B$49/24</f>
        <v>4166.666666666667</v>
      </c>
      <c r="T17" s="16">
        <f>Assumptions!$B$49/24</f>
        <v>4166.666666666667</v>
      </c>
      <c r="U17" s="16">
        <f>Assumptions!$B$49/24</f>
        <v>4166.666666666667</v>
      </c>
      <c r="V17" s="16">
        <f>Assumptions!$B$49/24</f>
        <v>4166.666666666667</v>
      </c>
      <c r="W17" s="16">
        <f>Assumptions!$B$49/24</f>
        <v>4166.666666666667</v>
      </c>
      <c r="X17" s="16">
        <f>Assumptions!$B$49/24</f>
        <v>4166.666666666667</v>
      </c>
      <c r="Y17" s="16">
        <f>Assumptions!$B$49/24</f>
        <v>4166.666666666667</v>
      </c>
      <c r="Z17" s="18">
        <f t="shared" si="1"/>
        <v>49999.999999999993</v>
      </c>
      <c r="AA17" s="18">
        <f t="shared" si="2"/>
        <v>49999.999999999993</v>
      </c>
    </row>
    <row r="18" spans="1:27" ht="15" customHeight="1" x14ac:dyDescent="0.2">
      <c r="A18" s="3" t="s">
        <v>186</v>
      </c>
      <c r="B18" s="16">
        <f>Assumptions!$B$50/24</f>
        <v>4166.666666666667</v>
      </c>
      <c r="C18" s="16">
        <f>Assumptions!$B$50/24</f>
        <v>4166.666666666667</v>
      </c>
      <c r="D18" s="16">
        <f>Assumptions!$B$50/24</f>
        <v>4166.666666666667</v>
      </c>
      <c r="E18" s="16">
        <f>Assumptions!$B$50/24</f>
        <v>4166.666666666667</v>
      </c>
      <c r="F18" s="16">
        <f>Assumptions!$B$50/24</f>
        <v>4166.666666666667</v>
      </c>
      <c r="G18" s="16">
        <f>Assumptions!$B$50/24</f>
        <v>4166.666666666667</v>
      </c>
      <c r="H18" s="16">
        <f>Assumptions!$B$50/24</f>
        <v>4166.666666666667</v>
      </c>
      <c r="I18" s="16">
        <f>Assumptions!$B$50/24</f>
        <v>4166.666666666667</v>
      </c>
      <c r="J18" s="16">
        <f>Assumptions!$B$50/24</f>
        <v>4166.666666666667</v>
      </c>
      <c r="K18" s="16">
        <f>Assumptions!$B$50/24</f>
        <v>4166.666666666667</v>
      </c>
      <c r="L18" s="16">
        <f>Assumptions!$B$50/24</f>
        <v>4166.666666666667</v>
      </c>
      <c r="M18" s="16">
        <f>Assumptions!$B$50/24</f>
        <v>4166.666666666667</v>
      </c>
      <c r="N18" s="16">
        <f>Assumptions!$B$50/24</f>
        <v>4166.666666666667</v>
      </c>
      <c r="O18" s="16">
        <f>Assumptions!$B$50/24</f>
        <v>4166.666666666667</v>
      </c>
      <c r="P18" s="16">
        <f>Assumptions!$B$50/24</f>
        <v>4166.666666666667</v>
      </c>
      <c r="Q18" s="16">
        <f>Assumptions!$B$50/24</f>
        <v>4166.666666666667</v>
      </c>
      <c r="R18" s="16">
        <f>Assumptions!$B$50/24</f>
        <v>4166.666666666667</v>
      </c>
      <c r="S18" s="16">
        <f>Assumptions!$B$50/24</f>
        <v>4166.666666666667</v>
      </c>
      <c r="T18" s="16">
        <f>Assumptions!$B$50/24</f>
        <v>4166.666666666667</v>
      </c>
      <c r="U18" s="16">
        <f>Assumptions!$B$50/24</f>
        <v>4166.666666666667</v>
      </c>
      <c r="V18" s="16">
        <f>Assumptions!$B$50/24</f>
        <v>4166.666666666667</v>
      </c>
      <c r="W18" s="16">
        <f>Assumptions!$B$50/24</f>
        <v>4166.666666666667</v>
      </c>
      <c r="X18" s="16">
        <f>Assumptions!$B$50/24</f>
        <v>4166.666666666667</v>
      </c>
      <c r="Y18" s="16">
        <f>Assumptions!$B$50/24</f>
        <v>4166.666666666667</v>
      </c>
      <c r="Z18" s="18">
        <f t="shared" si="1"/>
        <v>49999.999999999993</v>
      </c>
      <c r="AA18" s="18">
        <f t="shared" si="2"/>
        <v>49999.999999999993</v>
      </c>
    </row>
    <row r="19" spans="1:27" ht="15" customHeight="1" x14ac:dyDescent="0.2">
      <c r="A19" s="21" t="s">
        <v>187</v>
      </c>
      <c r="B19" s="22">
        <f t="shared" ref="B19:Y19" si="3">SUM(B12:B18)</f>
        <v>60166.666666666664</v>
      </c>
      <c r="C19" s="22">
        <f t="shared" si="3"/>
        <v>60916.666666666664</v>
      </c>
      <c r="D19" s="22">
        <f t="shared" si="3"/>
        <v>63166.666666666664</v>
      </c>
      <c r="E19" s="22">
        <f t="shared" si="3"/>
        <v>64066.666666666664</v>
      </c>
      <c r="F19" s="22">
        <f t="shared" si="3"/>
        <v>65056.666666666664</v>
      </c>
      <c r="G19" s="22">
        <f t="shared" si="3"/>
        <v>66145.666666666672</v>
      </c>
      <c r="H19" s="22">
        <f t="shared" si="3"/>
        <v>67343.566666666666</v>
      </c>
      <c r="I19" s="22">
        <f t="shared" si="3"/>
        <v>83155.846666666694</v>
      </c>
      <c r="J19" s="22">
        <f t="shared" si="3"/>
        <v>98554.764666666699</v>
      </c>
      <c r="K19" s="22">
        <f t="shared" si="3"/>
        <v>101743.5744666667</v>
      </c>
      <c r="L19" s="22">
        <f t="shared" si="3"/>
        <v>105251.26524666671</v>
      </c>
      <c r="M19" s="22">
        <f t="shared" si="3"/>
        <v>109109.72510466671</v>
      </c>
      <c r="N19" s="22">
        <f t="shared" si="3"/>
        <v>113354.03094846671</v>
      </c>
      <c r="O19" s="22">
        <f t="shared" si="3"/>
        <v>118022.76737664672</v>
      </c>
      <c r="P19" s="22">
        <f t="shared" si="3"/>
        <v>179650.08822862271</v>
      </c>
      <c r="Q19" s="22">
        <f t="shared" si="3"/>
        <v>190948.43038481835</v>
      </c>
      <c r="R19" s="22">
        <f t="shared" si="3"/>
        <v>203376.60675663356</v>
      </c>
      <c r="S19" s="22">
        <f t="shared" si="3"/>
        <v>217047.60076563025</v>
      </c>
      <c r="T19" s="22">
        <f t="shared" si="3"/>
        <v>232085.69417552662</v>
      </c>
      <c r="U19" s="22">
        <f t="shared" si="3"/>
        <v>248627.59692641263</v>
      </c>
      <c r="V19" s="22">
        <f t="shared" si="3"/>
        <v>266823.6899523873</v>
      </c>
      <c r="W19" s="22">
        <f t="shared" si="3"/>
        <v>286839.39228095947</v>
      </c>
      <c r="X19" s="22">
        <f t="shared" si="3"/>
        <v>308856.66484238871</v>
      </c>
      <c r="Y19" s="22">
        <f t="shared" si="3"/>
        <v>333075.66465996089</v>
      </c>
      <c r="Z19" s="22">
        <f t="shared" si="1"/>
        <v>944677.74281800014</v>
      </c>
      <c r="AA19" s="22">
        <f t="shared" si="2"/>
        <v>2698708.2272984535</v>
      </c>
    </row>
    <row r="21" spans="1:27" ht="15" customHeight="1" x14ac:dyDescent="0.2">
      <c r="A21" s="23" t="s">
        <v>188</v>
      </c>
      <c r="B21" s="24">
        <f t="shared" ref="B21:Y21" si="4">B9-B19</f>
        <v>-31833.333333333328</v>
      </c>
      <c r="C21" s="24">
        <f t="shared" si="4"/>
        <v>-30083.333333333328</v>
      </c>
      <c r="D21" s="24">
        <f t="shared" si="4"/>
        <v>-16499.999999999993</v>
      </c>
      <c r="E21" s="24">
        <f t="shared" si="4"/>
        <v>-14399.999999999993</v>
      </c>
      <c r="F21" s="24">
        <f t="shared" si="4"/>
        <v>-12089.999999999993</v>
      </c>
      <c r="G21" s="24">
        <f t="shared" si="4"/>
        <v>-1215.666666666657</v>
      </c>
      <c r="H21" s="24">
        <f t="shared" si="4"/>
        <v>1579.4333333333489</v>
      </c>
      <c r="I21" s="24">
        <f t="shared" si="4"/>
        <v>-9840.5466666666762</v>
      </c>
      <c r="J21" s="24">
        <f t="shared" si="4"/>
        <v>-6987.1013333333394</v>
      </c>
      <c r="K21" s="24">
        <f t="shared" si="4"/>
        <v>-323.72813333332306</v>
      </c>
      <c r="L21" s="24">
        <f t="shared" si="4"/>
        <v>6552.2323866666702</v>
      </c>
      <c r="M21" s="24">
        <f t="shared" si="4"/>
        <v>21995.372292</v>
      </c>
      <c r="N21" s="24">
        <f t="shared" si="4"/>
        <v>29362.409521200025</v>
      </c>
      <c r="O21" s="24">
        <f t="shared" si="4"/>
        <v>37012.400473320013</v>
      </c>
      <c r="P21" s="24">
        <f t="shared" si="4"/>
        <v>-3184.7369269926276</v>
      </c>
      <c r="Q21" s="24">
        <f t="shared" si="4"/>
        <v>-530.2939530252479</v>
      </c>
      <c r="R21" s="24">
        <f t="shared" si="4"/>
        <v>1935.8433183388552</v>
      </c>
      <c r="S21" s="24">
        <f t="shared" si="4"/>
        <v>4194.8443168394151</v>
      </c>
      <c r="T21" s="24">
        <f t="shared" si="4"/>
        <v>6225.9954151900311</v>
      </c>
      <c r="U21" s="24">
        <f t="shared" si="4"/>
        <v>8006.5116233756999</v>
      </c>
      <c r="V21" s="24">
        <f t="shared" si="4"/>
        <v>9511.3294523798977</v>
      </c>
      <c r="W21" s="24">
        <f t="shared" si="4"/>
        <v>10712.87906428444</v>
      </c>
      <c r="X21" s="24">
        <f t="shared" si="4"/>
        <v>11580.833637379576</v>
      </c>
      <c r="Y21" s="24">
        <f t="shared" si="4"/>
        <v>6994.333667784289</v>
      </c>
      <c r="Z21" s="24">
        <f>SUM(B21:M21)</f>
        <v>-93146.671454666634</v>
      </c>
      <c r="AA21" s="24">
        <f>SUM(N21:Y21)</f>
        <v>121822.34961007437</v>
      </c>
    </row>
  </sheetData>
  <mergeCells count="3">
    <mergeCell ref="A1:AB1"/>
    <mergeCell ref="A5:AB5"/>
    <mergeCell ref="A11:AB11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19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AB1"/>
    </sheetView>
  </sheetViews>
  <sheetFormatPr baseColWidth="10" defaultColWidth="8.6640625" defaultRowHeight="15" x14ac:dyDescent="0.2"/>
  <cols>
    <col min="1" max="1" width="32" customWidth="1"/>
    <col min="2" max="25" width="12" customWidth="1"/>
  </cols>
  <sheetData>
    <row r="1" spans="1:28" ht="27.75" customHeight="1" x14ac:dyDescent="0.2">
      <c r="A1" s="46" t="s">
        <v>189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</row>
    <row r="4" spans="1:28" ht="15" customHeight="1" x14ac:dyDescent="0.2">
      <c r="A4" s="25" t="s">
        <v>126</v>
      </c>
      <c r="B4" s="5" t="s">
        <v>55</v>
      </c>
      <c r="C4" s="5" t="s">
        <v>127</v>
      </c>
      <c r="D4" s="5" t="s">
        <v>128</v>
      </c>
      <c r="E4" s="5" t="s">
        <v>129</v>
      </c>
      <c r="F4" s="5" t="s">
        <v>130</v>
      </c>
      <c r="G4" s="5" t="s">
        <v>131</v>
      </c>
      <c r="H4" s="5" t="s">
        <v>132</v>
      </c>
      <c r="I4" s="5" t="s">
        <v>133</v>
      </c>
      <c r="J4" s="5" t="s">
        <v>134</v>
      </c>
      <c r="K4" s="5" t="s">
        <v>135</v>
      </c>
      <c r="L4" s="5" t="s">
        <v>136</v>
      </c>
      <c r="M4" s="5" t="s">
        <v>137</v>
      </c>
      <c r="N4" s="5" t="s">
        <v>138</v>
      </c>
      <c r="O4" s="5" t="s">
        <v>139</v>
      </c>
      <c r="P4" s="5" t="s">
        <v>140</v>
      </c>
      <c r="Q4" s="5" t="s">
        <v>141</v>
      </c>
      <c r="R4" s="5" t="s">
        <v>142</v>
      </c>
      <c r="S4" s="5" t="s">
        <v>143</v>
      </c>
      <c r="T4" s="5" t="s">
        <v>144</v>
      </c>
      <c r="U4" s="5" t="s">
        <v>145</v>
      </c>
      <c r="V4" s="5" t="s">
        <v>146</v>
      </c>
      <c r="W4" s="5" t="s">
        <v>147</v>
      </c>
      <c r="X4" s="5" t="s">
        <v>148</v>
      </c>
      <c r="Y4" s="5" t="s">
        <v>149</v>
      </c>
    </row>
    <row r="5" spans="1:28" ht="15" customHeight="1" x14ac:dyDescent="0.2">
      <c r="A5" s="3" t="s">
        <v>190</v>
      </c>
      <c r="B5" s="16">
        <f>Assumptions!$B$6</f>
        <v>2000000</v>
      </c>
      <c r="C5" s="17">
        <f t="shared" ref="C5:Y5" si="0">B9</f>
        <v>1968166.6666666667</v>
      </c>
      <c r="D5" s="17">
        <f t="shared" si="0"/>
        <v>1938083.3333333335</v>
      </c>
      <c r="E5" s="17">
        <f t="shared" si="0"/>
        <v>1921583.3333333335</v>
      </c>
      <c r="F5" s="17">
        <f t="shared" si="0"/>
        <v>1907183.3333333335</v>
      </c>
      <c r="G5" s="17">
        <f t="shared" si="0"/>
        <v>1895093.3333333335</v>
      </c>
      <c r="H5" s="17">
        <f t="shared" si="0"/>
        <v>1893877.6666666667</v>
      </c>
      <c r="I5" s="17">
        <f t="shared" si="0"/>
        <v>1895457.1</v>
      </c>
      <c r="J5" s="17">
        <f t="shared" si="0"/>
        <v>1885616.5533333335</v>
      </c>
      <c r="K5" s="17">
        <f t="shared" si="0"/>
        <v>1878629.452</v>
      </c>
      <c r="L5" s="17">
        <f t="shared" si="0"/>
        <v>1878305.7238666667</v>
      </c>
      <c r="M5" s="17">
        <f t="shared" si="0"/>
        <v>1884857.9562533333</v>
      </c>
      <c r="N5" s="17">
        <f t="shared" si="0"/>
        <v>1906853.3285453334</v>
      </c>
      <c r="O5" s="17">
        <f t="shared" si="0"/>
        <v>1936215.7380665333</v>
      </c>
      <c r="P5" s="17">
        <f t="shared" si="0"/>
        <v>1973228.1385398533</v>
      </c>
      <c r="Q5" s="17">
        <f t="shared" si="0"/>
        <v>1970043.4016128606</v>
      </c>
      <c r="R5" s="17">
        <f t="shared" si="0"/>
        <v>1969513.1076598354</v>
      </c>
      <c r="S5" s="17">
        <f t="shared" si="0"/>
        <v>1971448.9509781743</v>
      </c>
      <c r="T5" s="17">
        <f t="shared" si="0"/>
        <v>1975643.7952950138</v>
      </c>
      <c r="U5" s="17">
        <f t="shared" si="0"/>
        <v>1981869.7907102038</v>
      </c>
      <c r="V5" s="17">
        <f t="shared" si="0"/>
        <v>1989876.3023335794</v>
      </c>
      <c r="W5" s="17">
        <f t="shared" si="0"/>
        <v>1999387.6317859592</v>
      </c>
      <c r="X5" s="17">
        <f t="shared" si="0"/>
        <v>2010100.5108502437</v>
      </c>
      <c r="Y5" s="17">
        <f t="shared" si="0"/>
        <v>2021681.3444876233</v>
      </c>
    </row>
    <row r="6" spans="1:28" ht="15" customHeight="1" x14ac:dyDescent="0.2">
      <c r="A6" s="3" t="s">
        <v>191</v>
      </c>
      <c r="B6" s="16">
        <f>'P&amp;L'!B9</f>
        <v>28333.333333333336</v>
      </c>
      <c r="C6" s="16">
        <f>'P&amp;L'!C9</f>
        <v>30833.333333333336</v>
      </c>
      <c r="D6" s="16">
        <f>'P&amp;L'!D9</f>
        <v>46666.666666666672</v>
      </c>
      <c r="E6" s="16">
        <f>'P&amp;L'!E9</f>
        <v>49666.666666666672</v>
      </c>
      <c r="F6" s="16">
        <f>'P&amp;L'!F9</f>
        <v>52966.666666666672</v>
      </c>
      <c r="G6" s="16">
        <f>'P&amp;L'!G9</f>
        <v>64930.000000000015</v>
      </c>
      <c r="H6" s="16">
        <f>'P&amp;L'!H9</f>
        <v>68923.000000000015</v>
      </c>
      <c r="I6" s="16">
        <f>'P&amp;L'!I9</f>
        <v>73315.300000000017</v>
      </c>
      <c r="J6" s="16">
        <f>'P&amp;L'!J9</f>
        <v>91567.663333333359</v>
      </c>
      <c r="K6" s="16">
        <f>'P&amp;L'!K9</f>
        <v>101419.84633333338</v>
      </c>
      <c r="L6" s="16">
        <f>'P&amp;L'!L9</f>
        <v>111803.49763333338</v>
      </c>
      <c r="M6" s="16">
        <f>'P&amp;L'!M9</f>
        <v>131105.09739666671</v>
      </c>
      <c r="N6" s="16">
        <f>'P&amp;L'!N9</f>
        <v>142716.44046966673</v>
      </c>
      <c r="O6" s="16">
        <f>'P&amp;L'!O9</f>
        <v>155035.16784996673</v>
      </c>
      <c r="P6" s="16">
        <f>'P&amp;L'!P9</f>
        <v>176465.35130163009</v>
      </c>
      <c r="Q6" s="16">
        <f>'P&amp;L'!Q9</f>
        <v>190418.1364317931</v>
      </c>
      <c r="R6" s="16">
        <f>'P&amp;L'!R9</f>
        <v>205312.45007497241</v>
      </c>
      <c r="S6" s="16">
        <f>'P&amp;L'!S9</f>
        <v>221242.44508246967</v>
      </c>
      <c r="T6" s="16">
        <f>'P&amp;L'!T9</f>
        <v>238311.68959071665</v>
      </c>
      <c r="U6" s="16">
        <f>'P&amp;L'!U9</f>
        <v>256634.10854978833</v>
      </c>
      <c r="V6" s="16">
        <f>'P&amp;L'!V9</f>
        <v>276335.0194047672</v>
      </c>
      <c r="W6" s="16">
        <f>'P&amp;L'!W9</f>
        <v>297552.27134524391</v>
      </c>
      <c r="X6" s="16">
        <f>'P&amp;L'!X9</f>
        <v>320437.49847976828</v>
      </c>
      <c r="Y6" s="16">
        <f>'P&amp;L'!Y9</f>
        <v>340069.99832774518</v>
      </c>
    </row>
    <row r="7" spans="1:28" ht="15" customHeight="1" x14ac:dyDescent="0.2">
      <c r="A7" s="3" t="s">
        <v>192</v>
      </c>
      <c r="B7" s="16">
        <f>-'P&amp;L'!B19</f>
        <v>-60166.666666666664</v>
      </c>
      <c r="C7" s="16">
        <f>-'P&amp;L'!C19</f>
        <v>-60916.666666666664</v>
      </c>
      <c r="D7" s="16">
        <f>-'P&amp;L'!D19</f>
        <v>-63166.666666666664</v>
      </c>
      <c r="E7" s="16">
        <f>-'P&amp;L'!E19</f>
        <v>-64066.666666666664</v>
      </c>
      <c r="F7" s="16">
        <f>-'P&amp;L'!F19</f>
        <v>-65056.666666666664</v>
      </c>
      <c r="G7" s="16">
        <f>-'P&amp;L'!G19</f>
        <v>-66145.666666666672</v>
      </c>
      <c r="H7" s="16">
        <f>-'P&amp;L'!H19</f>
        <v>-67343.566666666666</v>
      </c>
      <c r="I7" s="16">
        <f>-'P&amp;L'!I19</f>
        <v>-83155.846666666694</v>
      </c>
      <c r="J7" s="16">
        <f>-'P&amp;L'!J19</f>
        <v>-98554.764666666699</v>
      </c>
      <c r="K7" s="16">
        <f>-'P&amp;L'!K19</f>
        <v>-101743.5744666667</v>
      </c>
      <c r="L7" s="16">
        <f>-'P&amp;L'!L19</f>
        <v>-105251.26524666671</v>
      </c>
      <c r="M7" s="16">
        <f>-'P&amp;L'!M19</f>
        <v>-109109.72510466671</v>
      </c>
      <c r="N7" s="16">
        <f>-'P&amp;L'!N19</f>
        <v>-113354.03094846671</v>
      </c>
      <c r="O7" s="16">
        <f>-'P&amp;L'!O19</f>
        <v>-118022.76737664672</v>
      </c>
      <c r="P7" s="16">
        <f>-'P&amp;L'!P19</f>
        <v>-179650.08822862271</v>
      </c>
      <c r="Q7" s="16">
        <f>-'P&amp;L'!Q19</f>
        <v>-190948.43038481835</v>
      </c>
      <c r="R7" s="16">
        <f>-'P&amp;L'!R19</f>
        <v>-203376.60675663356</v>
      </c>
      <c r="S7" s="16">
        <f>-'P&amp;L'!S19</f>
        <v>-217047.60076563025</v>
      </c>
      <c r="T7" s="16">
        <f>-'P&amp;L'!T19</f>
        <v>-232085.69417552662</v>
      </c>
      <c r="U7" s="16">
        <f>-'P&amp;L'!U19</f>
        <v>-248627.59692641263</v>
      </c>
      <c r="V7" s="16">
        <f>-'P&amp;L'!V19</f>
        <v>-266823.6899523873</v>
      </c>
      <c r="W7" s="16">
        <f>-'P&amp;L'!W19</f>
        <v>-286839.39228095947</v>
      </c>
      <c r="X7" s="16">
        <f>-'P&amp;L'!X19</f>
        <v>-308856.66484238871</v>
      </c>
      <c r="Y7" s="16">
        <f>-'P&amp;L'!Y19</f>
        <v>-333075.66465996089</v>
      </c>
    </row>
    <row r="8" spans="1:28" ht="15" customHeight="1" x14ac:dyDescent="0.2">
      <c r="A8" s="1" t="s">
        <v>193</v>
      </c>
      <c r="B8" s="18">
        <f t="shared" ref="B8:Y8" si="1">B6+B7</f>
        <v>-31833.333333333328</v>
      </c>
      <c r="C8" s="18">
        <f t="shared" si="1"/>
        <v>-30083.333333333328</v>
      </c>
      <c r="D8" s="18">
        <f t="shared" si="1"/>
        <v>-16499.999999999993</v>
      </c>
      <c r="E8" s="18">
        <f t="shared" si="1"/>
        <v>-14399.999999999993</v>
      </c>
      <c r="F8" s="18">
        <f t="shared" si="1"/>
        <v>-12089.999999999993</v>
      </c>
      <c r="G8" s="18">
        <f t="shared" si="1"/>
        <v>-1215.666666666657</v>
      </c>
      <c r="H8" s="18">
        <f t="shared" si="1"/>
        <v>1579.4333333333489</v>
      </c>
      <c r="I8" s="18">
        <f t="shared" si="1"/>
        <v>-9840.5466666666762</v>
      </c>
      <c r="J8" s="18">
        <f t="shared" si="1"/>
        <v>-6987.1013333333394</v>
      </c>
      <c r="K8" s="18">
        <f t="shared" si="1"/>
        <v>-323.72813333332306</v>
      </c>
      <c r="L8" s="18">
        <f t="shared" si="1"/>
        <v>6552.2323866666702</v>
      </c>
      <c r="M8" s="18">
        <f t="shared" si="1"/>
        <v>21995.372292</v>
      </c>
      <c r="N8" s="18">
        <f t="shared" si="1"/>
        <v>29362.409521200025</v>
      </c>
      <c r="O8" s="18">
        <f t="shared" si="1"/>
        <v>37012.400473320013</v>
      </c>
      <c r="P8" s="18">
        <f t="shared" si="1"/>
        <v>-3184.7369269926276</v>
      </c>
      <c r="Q8" s="18">
        <f t="shared" si="1"/>
        <v>-530.2939530252479</v>
      </c>
      <c r="R8" s="18">
        <f t="shared" si="1"/>
        <v>1935.8433183388552</v>
      </c>
      <c r="S8" s="18">
        <f t="shared" si="1"/>
        <v>4194.8443168394151</v>
      </c>
      <c r="T8" s="18">
        <f t="shared" si="1"/>
        <v>6225.9954151900311</v>
      </c>
      <c r="U8" s="18">
        <f t="shared" si="1"/>
        <v>8006.5116233756999</v>
      </c>
      <c r="V8" s="18">
        <f t="shared" si="1"/>
        <v>9511.3294523798977</v>
      </c>
      <c r="W8" s="18">
        <f t="shared" si="1"/>
        <v>10712.87906428444</v>
      </c>
      <c r="X8" s="18">
        <f t="shared" si="1"/>
        <v>11580.833637379576</v>
      </c>
      <c r="Y8" s="18">
        <f t="shared" si="1"/>
        <v>6994.333667784289</v>
      </c>
    </row>
    <row r="9" spans="1:28" ht="15" customHeight="1" x14ac:dyDescent="0.2">
      <c r="A9" s="23" t="s">
        <v>194</v>
      </c>
      <c r="B9" s="24">
        <f t="shared" ref="B9:Y9" si="2">B5+B8</f>
        <v>1968166.6666666667</v>
      </c>
      <c r="C9" s="24">
        <f t="shared" si="2"/>
        <v>1938083.3333333335</v>
      </c>
      <c r="D9" s="24">
        <f t="shared" si="2"/>
        <v>1921583.3333333335</v>
      </c>
      <c r="E9" s="24">
        <f t="shared" si="2"/>
        <v>1907183.3333333335</v>
      </c>
      <c r="F9" s="24">
        <f t="shared" si="2"/>
        <v>1895093.3333333335</v>
      </c>
      <c r="G9" s="24">
        <f t="shared" si="2"/>
        <v>1893877.6666666667</v>
      </c>
      <c r="H9" s="24">
        <f t="shared" si="2"/>
        <v>1895457.1</v>
      </c>
      <c r="I9" s="24">
        <f t="shared" si="2"/>
        <v>1885616.5533333335</v>
      </c>
      <c r="J9" s="24">
        <f t="shared" si="2"/>
        <v>1878629.452</v>
      </c>
      <c r="K9" s="24">
        <f t="shared" si="2"/>
        <v>1878305.7238666667</v>
      </c>
      <c r="L9" s="24">
        <f t="shared" si="2"/>
        <v>1884857.9562533333</v>
      </c>
      <c r="M9" s="24">
        <f t="shared" si="2"/>
        <v>1906853.3285453334</v>
      </c>
      <c r="N9" s="24">
        <f t="shared" si="2"/>
        <v>1936215.7380665333</v>
      </c>
      <c r="O9" s="24">
        <f t="shared" si="2"/>
        <v>1973228.1385398533</v>
      </c>
      <c r="P9" s="24">
        <f t="shared" si="2"/>
        <v>1970043.4016128606</v>
      </c>
      <c r="Q9" s="24">
        <f t="shared" si="2"/>
        <v>1969513.1076598354</v>
      </c>
      <c r="R9" s="24">
        <f t="shared" si="2"/>
        <v>1971448.9509781743</v>
      </c>
      <c r="S9" s="24">
        <f t="shared" si="2"/>
        <v>1975643.7952950138</v>
      </c>
      <c r="T9" s="24">
        <f t="shared" si="2"/>
        <v>1981869.7907102038</v>
      </c>
      <c r="U9" s="24">
        <f t="shared" si="2"/>
        <v>1989876.3023335794</v>
      </c>
      <c r="V9" s="24">
        <f t="shared" si="2"/>
        <v>1999387.6317859592</v>
      </c>
      <c r="W9" s="24">
        <f t="shared" si="2"/>
        <v>2010100.5108502437</v>
      </c>
      <c r="X9" s="24">
        <f t="shared" si="2"/>
        <v>2021681.3444876233</v>
      </c>
      <c r="Y9" s="24">
        <f t="shared" si="2"/>
        <v>2028675.6781554075</v>
      </c>
    </row>
    <row r="12" spans="1:28" ht="15" customHeight="1" x14ac:dyDescent="0.2">
      <c r="A12" s="45" t="s">
        <v>195</v>
      </c>
      <c r="B12" s="45"/>
      <c r="C12" s="45"/>
      <c r="D12" s="45"/>
      <c r="E12" s="45"/>
    </row>
    <row r="13" spans="1:28" ht="15" customHeight="1" x14ac:dyDescent="0.2">
      <c r="A13" s="3" t="s">
        <v>196</v>
      </c>
      <c r="B13" s="16">
        <f>Assumptions!$B$6</f>
        <v>2000000</v>
      </c>
    </row>
    <row r="14" spans="1:28" ht="15" customHeight="1" x14ac:dyDescent="0.2">
      <c r="A14" s="3" t="s">
        <v>197</v>
      </c>
      <c r="B14" s="17">
        <f>SUM('P&amp;L'!B19:Y19)</f>
        <v>3643385.9701164542</v>
      </c>
    </row>
    <row r="15" spans="1:28" ht="15" customHeight="1" x14ac:dyDescent="0.2">
      <c r="A15" s="3" t="s">
        <v>198</v>
      </c>
      <c r="B15" s="17">
        <f>SUM('P&amp;L'!B9:Y9)</f>
        <v>3672061.648271861</v>
      </c>
    </row>
    <row r="16" spans="1:28" ht="15" customHeight="1" x14ac:dyDescent="0.2">
      <c r="A16" s="1" t="s">
        <v>199</v>
      </c>
      <c r="B16" s="18">
        <f>B14-B15</f>
        <v>-28675.678155406844</v>
      </c>
    </row>
    <row r="17" spans="1:2" ht="15" customHeight="1" x14ac:dyDescent="0.2">
      <c r="A17" s="23" t="s">
        <v>200</v>
      </c>
      <c r="B17" s="24">
        <f>Y9</f>
        <v>2028675.6781554075</v>
      </c>
    </row>
    <row r="18" spans="1:2" ht="15" customHeight="1" x14ac:dyDescent="0.2">
      <c r="A18" s="3" t="s">
        <v>201</v>
      </c>
      <c r="B18" s="17">
        <f>B16/24</f>
        <v>-1194.8199231419519</v>
      </c>
    </row>
    <row r="19" spans="1:2" ht="15" customHeight="1" x14ac:dyDescent="0.2">
      <c r="A19" s="1" t="s">
        <v>202</v>
      </c>
      <c r="B19" s="26">
        <f>IF(B18&gt;0,B13/B18,0)</f>
        <v>0</v>
      </c>
    </row>
  </sheetData>
  <mergeCells count="2">
    <mergeCell ref="A1:AB1"/>
    <mergeCell ref="A12:E12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8"/>
  <sheetViews>
    <sheetView zoomScaleNormal="100" workbookViewId="0">
      <selection activeCell="B5" sqref="B5"/>
    </sheetView>
  </sheetViews>
  <sheetFormatPr baseColWidth="10" defaultColWidth="8.6640625" defaultRowHeight="15" x14ac:dyDescent="0.2"/>
  <cols>
    <col min="1" max="1" width="30" customWidth="1"/>
    <col min="2" max="7" width="12" customWidth="1"/>
  </cols>
  <sheetData>
    <row r="1" spans="1:7" ht="27.75" customHeight="1" x14ac:dyDescent="0.2">
      <c r="A1" s="46" t="s">
        <v>203</v>
      </c>
      <c r="B1" s="46"/>
      <c r="C1" s="46"/>
      <c r="D1" s="46"/>
      <c r="E1" s="46"/>
      <c r="F1" s="46"/>
      <c r="G1" s="46"/>
    </row>
    <row r="2" spans="1:7" ht="15" customHeight="1" x14ac:dyDescent="0.2">
      <c r="A2" s="47" t="s">
        <v>204</v>
      </c>
      <c r="B2" s="47"/>
      <c r="C2" s="47"/>
      <c r="D2" s="47"/>
      <c r="E2" s="47"/>
      <c r="F2" s="47"/>
      <c r="G2" s="47"/>
    </row>
    <row r="4" spans="1:7" ht="15" customHeight="1" x14ac:dyDescent="0.2">
      <c r="A4" s="5" t="s">
        <v>205</v>
      </c>
      <c r="B4" s="5" t="s">
        <v>206</v>
      </c>
      <c r="C4" s="5" t="s">
        <v>207</v>
      </c>
      <c r="D4" s="5" t="s">
        <v>208</v>
      </c>
      <c r="E4" s="5" t="s">
        <v>209</v>
      </c>
      <c r="F4" s="5" t="s">
        <v>210</v>
      </c>
      <c r="G4" s="5" t="s">
        <v>211</v>
      </c>
    </row>
    <row r="5" spans="1:7" ht="15" customHeight="1" x14ac:dyDescent="0.2">
      <c r="A5" s="27" t="s">
        <v>212</v>
      </c>
      <c r="B5" s="28">
        <v>4</v>
      </c>
      <c r="C5" s="12">
        <v>4</v>
      </c>
      <c r="D5" s="12">
        <v>5</v>
      </c>
      <c r="E5" s="12">
        <v>5</v>
      </c>
      <c r="F5" s="12">
        <v>6</v>
      </c>
      <c r="G5" s="12">
        <v>6</v>
      </c>
    </row>
    <row r="6" spans="1:7" ht="15" customHeight="1" x14ac:dyDescent="0.2">
      <c r="A6" s="27" t="s">
        <v>213</v>
      </c>
      <c r="B6" s="28">
        <v>2</v>
      </c>
      <c r="C6" s="12">
        <v>2</v>
      </c>
      <c r="D6" s="12">
        <v>2</v>
      </c>
      <c r="E6" s="12">
        <v>3</v>
      </c>
      <c r="F6" s="12">
        <v>3</v>
      </c>
      <c r="G6" s="12">
        <v>3</v>
      </c>
    </row>
    <row r="7" spans="1:7" ht="15" customHeight="1" x14ac:dyDescent="0.2">
      <c r="A7" s="27" t="s">
        <v>214</v>
      </c>
      <c r="B7" s="28">
        <v>1</v>
      </c>
      <c r="C7" s="12">
        <v>2</v>
      </c>
      <c r="D7" s="12">
        <v>2</v>
      </c>
      <c r="E7" s="12">
        <v>3</v>
      </c>
      <c r="F7" s="12">
        <v>3</v>
      </c>
      <c r="G7" s="12">
        <v>3</v>
      </c>
    </row>
    <row r="8" spans="1:7" ht="15" customHeight="1" x14ac:dyDescent="0.2">
      <c r="A8" s="27" t="s">
        <v>215</v>
      </c>
      <c r="B8" s="28">
        <v>1</v>
      </c>
      <c r="C8" s="12">
        <v>1</v>
      </c>
      <c r="D8" s="12">
        <v>2</v>
      </c>
      <c r="E8" s="12">
        <v>2</v>
      </c>
      <c r="F8" s="12">
        <v>3</v>
      </c>
      <c r="G8" s="12">
        <v>3</v>
      </c>
    </row>
    <row r="9" spans="1:7" ht="15" customHeight="1" x14ac:dyDescent="0.2">
      <c r="A9" s="27" t="s">
        <v>216</v>
      </c>
      <c r="B9" s="28">
        <v>1</v>
      </c>
      <c r="C9" s="12">
        <v>1</v>
      </c>
      <c r="D9" s="12">
        <v>1</v>
      </c>
      <c r="E9" s="12">
        <v>1</v>
      </c>
      <c r="F9" s="12">
        <v>1</v>
      </c>
      <c r="G9" s="12">
        <v>1</v>
      </c>
    </row>
    <row r="10" spans="1:7" ht="15" customHeight="1" x14ac:dyDescent="0.2">
      <c r="A10" s="27" t="s">
        <v>217</v>
      </c>
      <c r="B10" s="28">
        <v>1</v>
      </c>
      <c r="C10" s="12">
        <v>1</v>
      </c>
      <c r="D10" s="12">
        <v>1</v>
      </c>
      <c r="E10" s="12">
        <v>1</v>
      </c>
      <c r="F10" s="12">
        <v>2</v>
      </c>
      <c r="G10" s="12">
        <v>2</v>
      </c>
    </row>
    <row r="11" spans="1:7" ht="15" customHeight="1" x14ac:dyDescent="0.2">
      <c r="A11" s="27" t="s">
        <v>218</v>
      </c>
      <c r="B11" s="28">
        <v>1</v>
      </c>
      <c r="C11" s="12">
        <v>1</v>
      </c>
      <c r="D11" s="12">
        <v>1</v>
      </c>
      <c r="E11" s="12">
        <v>1</v>
      </c>
      <c r="F11" s="12">
        <v>1</v>
      </c>
      <c r="G11" s="12">
        <v>1</v>
      </c>
    </row>
    <row r="12" spans="1:7" ht="15" customHeight="1" x14ac:dyDescent="0.2">
      <c r="A12" s="27" t="s">
        <v>219</v>
      </c>
      <c r="B12" s="28">
        <v>1</v>
      </c>
      <c r="C12" s="12">
        <v>1</v>
      </c>
      <c r="D12" s="12">
        <v>1</v>
      </c>
      <c r="E12" s="12">
        <v>1</v>
      </c>
      <c r="F12" s="12">
        <v>1</v>
      </c>
      <c r="G12" s="12">
        <v>1</v>
      </c>
    </row>
    <row r="13" spans="1:7" ht="15" customHeight="1" x14ac:dyDescent="0.2">
      <c r="A13" s="27" t="s">
        <v>220</v>
      </c>
      <c r="B13" s="28">
        <v>0</v>
      </c>
      <c r="C13" s="12">
        <v>0</v>
      </c>
      <c r="D13" s="12">
        <v>0</v>
      </c>
      <c r="E13" s="12">
        <v>1</v>
      </c>
      <c r="F13" s="12">
        <v>2</v>
      </c>
      <c r="G13" s="12">
        <v>2</v>
      </c>
    </row>
    <row r="14" spans="1:7" ht="15" customHeight="1" x14ac:dyDescent="0.2">
      <c r="A14" s="21" t="s">
        <v>221</v>
      </c>
      <c r="B14" s="29">
        <f t="shared" ref="B14:G14" si="0">SUM(B5:B13)</f>
        <v>12</v>
      </c>
      <c r="C14" s="29">
        <f t="shared" si="0"/>
        <v>13</v>
      </c>
      <c r="D14" s="29">
        <f t="shared" si="0"/>
        <v>15</v>
      </c>
      <c r="E14" s="29">
        <f t="shared" si="0"/>
        <v>18</v>
      </c>
      <c r="F14" s="29">
        <f t="shared" si="0"/>
        <v>22</v>
      </c>
      <c r="G14" s="29">
        <f t="shared" si="0"/>
        <v>22</v>
      </c>
    </row>
    <row r="16" spans="1:7" ht="15" customHeight="1" x14ac:dyDescent="0.2">
      <c r="A16" s="45" t="s">
        <v>222</v>
      </c>
      <c r="B16" s="45"/>
      <c r="C16" s="45"/>
      <c r="D16" s="45"/>
      <c r="E16" s="45"/>
      <c r="F16" s="45"/>
      <c r="G16" s="45"/>
    </row>
    <row r="17" spans="1:7" ht="15" customHeight="1" x14ac:dyDescent="0.2">
      <c r="A17" s="3" t="s">
        <v>223</v>
      </c>
      <c r="B17" s="30">
        <v>4500</v>
      </c>
      <c r="C17" s="2" t="s">
        <v>224</v>
      </c>
    </row>
    <row r="18" spans="1:7" ht="15" customHeight="1" x14ac:dyDescent="0.2">
      <c r="A18" s="1" t="s">
        <v>225</v>
      </c>
      <c r="C18" s="31">
        <f>C14*$B$17</f>
        <v>58500</v>
      </c>
      <c r="D18" s="31">
        <f>D14*$B$17</f>
        <v>67500</v>
      </c>
      <c r="E18" s="31">
        <f>E14*$B$17</f>
        <v>81000</v>
      </c>
      <c r="F18" s="31">
        <f>F14*$B$17</f>
        <v>99000</v>
      </c>
      <c r="G18" s="31">
        <f>G14*$B$17</f>
        <v>99000</v>
      </c>
    </row>
  </sheetData>
  <mergeCells count="3">
    <mergeCell ref="A1:G1"/>
    <mergeCell ref="A2:G2"/>
    <mergeCell ref="A16:G16"/>
  </mergeCells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7"/>
  <sheetViews>
    <sheetView zoomScaleNormal="100" workbookViewId="0">
      <selection sqref="A1:F1"/>
    </sheetView>
  </sheetViews>
  <sheetFormatPr baseColWidth="10" defaultColWidth="8.6640625" defaultRowHeight="15" x14ac:dyDescent="0.2"/>
  <cols>
    <col min="1" max="1" width="36" customWidth="1"/>
    <col min="2" max="2" width="16" customWidth="1"/>
    <col min="3" max="3" width="22" customWidth="1"/>
    <col min="4" max="6" width="16" customWidth="1"/>
  </cols>
  <sheetData>
    <row r="1" spans="1:6" ht="27.75" customHeight="1" x14ac:dyDescent="0.2">
      <c r="A1" s="46" t="s">
        <v>226</v>
      </c>
      <c r="B1" s="46"/>
      <c r="C1" s="46"/>
      <c r="D1" s="46"/>
      <c r="E1" s="46"/>
      <c r="F1" s="46"/>
    </row>
    <row r="3" spans="1:6" ht="30" customHeight="1" x14ac:dyDescent="0.2">
      <c r="A3" s="50" t="s">
        <v>227</v>
      </c>
      <c r="B3" s="50"/>
      <c r="C3" s="50"/>
      <c r="D3" s="50"/>
      <c r="E3" s="50"/>
      <c r="F3" s="50"/>
    </row>
    <row r="5" spans="1:6" ht="15" customHeight="1" x14ac:dyDescent="0.2">
      <c r="A5" s="5" t="s">
        <v>228</v>
      </c>
      <c r="B5" s="5" t="s">
        <v>229</v>
      </c>
      <c r="C5" s="5" t="s">
        <v>230</v>
      </c>
      <c r="D5" s="5" t="s">
        <v>231</v>
      </c>
      <c r="E5" s="5" t="s">
        <v>232</v>
      </c>
      <c r="F5" s="5" t="s">
        <v>233</v>
      </c>
    </row>
    <row r="6" spans="1:6" ht="15" customHeight="1" x14ac:dyDescent="0.2">
      <c r="A6" s="1" t="s">
        <v>234</v>
      </c>
      <c r="B6" s="32">
        <f>B30</f>
        <v>0.85</v>
      </c>
      <c r="C6" s="32">
        <f>B30*(1-B22)</f>
        <v>0.76500000000000001</v>
      </c>
      <c r="D6" s="32">
        <f>C6*(1-D24)</f>
        <v>0.64730769230769236</v>
      </c>
      <c r="E6" s="32">
        <f>D6*(1-D25)</f>
        <v>0.52202233250620345</v>
      </c>
      <c r="F6" s="32">
        <f>E6*(1-D26)</f>
        <v>0.44744771357674584</v>
      </c>
    </row>
    <row r="7" spans="1:6" ht="15" customHeight="1" x14ac:dyDescent="0.2">
      <c r="A7" s="3" t="s">
        <v>235</v>
      </c>
      <c r="B7" s="32">
        <f>B31</f>
        <v>0.15</v>
      </c>
      <c r="C7" s="32">
        <f>B31*(1-B22)</f>
        <v>0.13500000000000001</v>
      </c>
      <c r="D7" s="32">
        <f>C7*(1-D24)</f>
        <v>0.11423076923076923</v>
      </c>
      <c r="E7" s="32">
        <f>D7*(1-D25)</f>
        <v>9.212158808933002E-2</v>
      </c>
      <c r="F7" s="32">
        <f>E7*(1-D26)</f>
        <v>7.8961361219425735E-2</v>
      </c>
    </row>
    <row r="8" spans="1:6" ht="15" customHeight="1" x14ac:dyDescent="0.2">
      <c r="A8" s="3" t="s">
        <v>236</v>
      </c>
      <c r="B8" s="32">
        <v>0</v>
      </c>
      <c r="C8" s="32">
        <f>B22</f>
        <v>0.1</v>
      </c>
      <c r="D8" s="32">
        <f>C8*(1-D24)</f>
        <v>8.461538461538462E-2</v>
      </c>
      <c r="E8" s="32">
        <f>D8*(1-D25)</f>
        <v>6.8238213399503728E-2</v>
      </c>
      <c r="F8" s="32">
        <f>E8*(1-D26)</f>
        <v>5.8489897199574627E-2</v>
      </c>
    </row>
    <row r="9" spans="1:6" ht="15" customHeight="1" x14ac:dyDescent="0.2">
      <c r="A9" s="3" t="s">
        <v>237</v>
      </c>
      <c r="B9" s="32">
        <v>0</v>
      </c>
      <c r="C9" s="32">
        <v>0</v>
      </c>
      <c r="D9" s="32">
        <f>D24</f>
        <v>0.15384615384615385</v>
      </c>
      <c r="E9" s="32">
        <f>D9*(1-D25)</f>
        <v>0.12406947890818859</v>
      </c>
      <c r="F9" s="32">
        <f>E9*(1-D26)</f>
        <v>0.10634526763559023</v>
      </c>
    </row>
    <row r="10" spans="1:6" ht="15" customHeight="1" x14ac:dyDescent="0.2">
      <c r="A10" s="3" t="s">
        <v>238</v>
      </c>
      <c r="B10" s="32">
        <v>0</v>
      </c>
      <c r="C10" s="32">
        <v>0</v>
      </c>
      <c r="D10" s="32">
        <v>0</v>
      </c>
      <c r="E10" s="32">
        <f>D25</f>
        <v>0.19354838709677419</v>
      </c>
      <c r="F10" s="32">
        <f>E10*(1-D26)</f>
        <v>0.16589861751152074</v>
      </c>
    </row>
    <row r="11" spans="1:6" ht="15" customHeight="1" x14ac:dyDescent="0.2">
      <c r="A11" s="3" t="s">
        <v>239</v>
      </c>
      <c r="B11" s="32">
        <v>0</v>
      </c>
      <c r="C11" s="32">
        <v>0</v>
      </c>
      <c r="D11" s="32">
        <v>0</v>
      </c>
      <c r="E11" s="32">
        <v>0</v>
      </c>
      <c r="F11" s="32">
        <f>D26</f>
        <v>0.14285714285714285</v>
      </c>
    </row>
    <row r="13" spans="1:6" ht="15" customHeight="1" x14ac:dyDescent="0.2">
      <c r="A13" s="21" t="s">
        <v>240</v>
      </c>
      <c r="B13" s="33">
        <f>SUM(B6:B11)</f>
        <v>1</v>
      </c>
      <c r="C13" s="33">
        <f>SUM(C6:C11)</f>
        <v>1</v>
      </c>
      <c r="D13" s="33">
        <f>SUM(D6:D11)</f>
        <v>1</v>
      </c>
      <c r="E13" s="33">
        <f>SUM(E6:E11)</f>
        <v>1</v>
      </c>
      <c r="F13" s="33">
        <f>SUM(F6:F11)</f>
        <v>1</v>
      </c>
    </row>
    <row r="15" spans="1:6" ht="15" customHeight="1" x14ac:dyDescent="0.2">
      <c r="A15" s="45" t="s">
        <v>241</v>
      </c>
      <c r="B15" s="45"/>
      <c r="C15" s="45"/>
      <c r="D15" s="45"/>
      <c r="E15" s="45"/>
      <c r="F15" s="45"/>
    </row>
    <row r="16" spans="1:6" ht="15" customHeight="1" x14ac:dyDescent="0.2">
      <c r="A16" s="3" t="s">
        <v>242</v>
      </c>
      <c r="B16" s="30">
        <v>2000000</v>
      </c>
      <c r="C16" s="2" t="s">
        <v>243</v>
      </c>
    </row>
    <row r="17" spans="1:6" ht="15" customHeight="1" x14ac:dyDescent="0.2">
      <c r="A17" s="3" t="s">
        <v>244</v>
      </c>
      <c r="B17" s="34">
        <v>11000000</v>
      </c>
      <c r="C17" s="2" t="s">
        <v>52</v>
      </c>
    </row>
    <row r="18" spans="1:6" ht="15" customHeight="1" x14ac:dyDescent="0.2">
      <c r="A18" s="3" t="s">
        <v>245</v>
      </c>
      <c r="B18" s="35">
        <v>0.2</v>
      </c>
      <c r="C18" s="2" t="s">
        <v>246</v>
      </c>
    </row>
    <row r="19" spans="1:6" ht="15" customHeight="1" x14ac:dyDescent="0.2">
      <c r="A19" s="3" t="s">
        <v>247</v>
      </c>
      <c r="B19" s="30">
        <v>12000000</v>
      </c>
      <c r="C19" s="2" t="s">
        <v>248</v>
      </c>
    </row>
    <row r="20" spans="1:6" ht="15" customHeight="1" x14ac:dyDescent="0.2">
      <c r="A20" s="3" t="s">
        <v>249</v>
      </c>
      <c r="B20" s="34">
        <v>50000000</v>
      </c>
      <c r="C20" s="2" t="s">
        <v>250</v>
      </c>
    </row>
    <row r="21" spans="1:6" ht="15" customHeight="1" x14ac:dyDescent="0.2">
      <c r="A21" s="3" t="s">
        <v>251</v>
      </c>
      <c r="B21" s="30">
        <v>25000000</v>
      </c>
      <c r="C21" s="2" t="s">
        <v>252</v>
      </c>
    </row>
    <row r="22" spans="1:6" ht="15" customHeight="1" x14ac:dyDescent="0.2">
      <c r="A22" s="3" t="s">
        <v>253</v>
      </c>
      <c r="B22" s="36">
        <v>0.1</v>
      </c>
      <c r="C22" s="2" t="s">
        <v>254</v>
      </c>
    </row>
    <row r="23" spans="1:6" ht="15" customHeight="1" x14ac:dyDescent="0.2">
      <c r="A23" s="3" t="s">
        <v>255</v>
      </c>
      <c r="B23" s="30">
        <v>150000000</v>
      </c>
      <c r="C23" s="2" t="s">
        <v>256</v>
      </c>
    </row>
    <row r="24" spans="1:6" ht="15" customHeight="1" x14ac:dyDescent="0.2">
      <c r="A24" s="1" t="s">
        <v>257</v>
      </c>
      <c r="B24" s="32">
        <f>B16/(B17+B16)</f>
        <v>0.15384615384615385</v>
      </c>
      <c r="C24" s="2" t="s">
        <v>258</v>
      </c>
      <c r="D24" s="32">
        <f>B24</f>
        <v>0.15384615384615385</v>
      </c>
    </row>
    <row r="25" spans="1:6" ht="15" customHeight="1" x14ac:dyDescent="0.2">
      <c r="A25" s="1" t="s">
        <v>259</v>
      </c>
      <c r="B25" s="32">
        <f>B19/(B20+B19)</f>
        <v>0.19354838709677419</v>
      </c>
      <c r="C25" s="2" t="s">
        <v>260</v>
      </c>
      <c r="D25" s="32">
        <f>B25</f>
        <v>0.19354838709677419</v>
      </c>
    </row>
    <row r="26" spans="1:6" ht="15" customHeight="1" x14ac:dyDescent="0.2">
      <c r="A26" s="1" t="s">
        <v>261</v>
      </c>
      <c r="B26" s="32">
        <f>B21/(B23+B21)</f>
        <v>0.14285714285714285</v>
      </c>
      <c r="C26" s="2" t="s">
        <v>262</v>
      </c>
      <c r="D26" s="32">
        <f>B26</f>
        <v>0.14285714285714285</v>
      </c>
    </row>
    <row r="29" spans="1:6" ht="15" customHeight="1" x14ac:dyDescent="0.2">
      <c r="A29" s="45" t="s">
        <v>263</v>
      </c>
      <c r="B29" s="45"/>
      <c r="C29" s="45"/>
      <c r="D29" s="45"/>
      <c r="E29" s="45"/>
      <c r="F29" s="45"/>
    </row>
    <row r="30" spans="1:6" ht="15" customHeight="1" x14ac:dyDescent="0.2">
      <c r="A30" s="3" t="s">
        <v>264</v>
      </c>
      <c r="B30" s="36">
        <v>0.85</v>
      </c>
      <c r="C30" s="2" t="s">
        <v>265</v>
      </c>
    </row>
    <row r="31" spans="1:6" ht="15" customHeight="1" x14ac:dyDescent="0.2">
      <c r="A31" s="3" t="s">
        <v>266</v>
      </c>
      <c r="B31" s="36">
        <v>0.15</v>
      </c>
      <c r="C31" s="2" t="s">
        <v>267</v>
      </c>
    </row>
    <row r="34" spans="1:6" ht="15" customHeight="1" x14ac:dyDescent="0.2">
      <c r="A34" s="45" t="s">
        <v>268</v>
      </c>
      <c r="B34" s="45"/>
      <c r="C34" s="45"/>
      <c r="D34" s="45"/>
      <c r="E34" s="45"/>
      <c r="F34" s="45"/>
    </row>
    <row r="35" spans="1:6" ht="15" customHeight="1" x14ac:dyDescent="0.2">
      <c r="A35" s="1" t="s">
        <v>269</v>
      </c>
      <c r="B35" s="49" t="str">
        <f>B6&amp;" → "&amp;TEXT(F6,"0.0%")</f>
        <v>0.85 → 44.7%</v>
      </c>
      <c r="C35" s="49"/>
    </row>
    <row r="36" spans="1:6" ht="15" customHeight="1" x14ac:dyDescent="0.2">
      <c r="A36" s="3" t="s">
        <v>270</v>
      </c>
      <c r="B36" s="32">
        <f>1-(F6/B6)</f>
        <v>0.47359092520382839</v>
      </c>
    </row>
    <row r="37" spans="1:6" ht="15" customHeight="1" x14ac:dyDescent="0.2">
      <c r="A37" s="3" t="s">
        <v>271</v>
      </c>
      <c r="B37" s="37">
        <f>F9</f>
        <v>0.10634526763559023</v>
      </c>
    </row>
  </sheetData>
  <mergeCells count="6">
    <mergeCell ref="B35:C35"/>
    <mergeCell ref="A1:F1"/>
    <mergeCell ref="A3:F3"/>
    <mergeCell ref="A15:F15"/>
    <mergeCell ref="A29:F29"/>
    <mergeCell ref="A34:F34"/>
  </mergeCells>
  <pageMargins left="0.75" right="0.75" top="1" bottom="1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1"/>
  <sheetViews>
    <sheetView zoomScaleNormal="100" workbookViewId="0">
      <selection sqref="A1:E1"/>
    </sheetView>
  </sheetViews>
  <sheetFormatPr baseColWidth="10" defaultColWidth="8.6640625" defaultRowHeight="15" x14ac:dyDescent="0.2"/>
  <cols>
    <col min="1" max="1" width="30" customWidth="1"/>
    <col min="2" max="5" width="22" customWidth="1"/>
  </cols>
  <sheetData>
    <row r="1" spans="1:5" ht="27.75" customHeight="1" x14ac:dyDescent="0.2">
      <c r="A1" s="46" t="s">
        <v>272</v>
      </c>
      <c r="B1" s="46"/>
      <c r="C1" s="46"/>
      <c r="D1" s="46"/>
      <c r="E1" s="46"/>
    </row>
    <row r="3" spans="1:5" ht="18" customHeight="1" x14ac:dyDescent="0.2">
      <c r="A3" s="51" t="s">
        <v>273</v>
      </c>
      <c r="B3" s="51"/>
      <c r="C3" s="51"/>
      <c r="D3" s="51"/>
      <c r="E3" s="51"/>
    </row>
    <row r="4" spans="1:5" ht="15" customHeight="1" x14ac:dyDescent="0.2">
      <c r="A4" s="51"/>
      <c r="B4" s="51"/>
      <c r="C4" s="51"/>
      <c r="D4" s="51"/>
      <c r="E4" s="51"/>
    </row>
    <row r="5" spans="1:5" ht="15" customHeight="1" x14ac:dyDescent="0.2">
      <c r="A5" s="51"/>
      <c r="B5" s="51"/>
      <c r="C5" s="51"/>
      <c r="D5" s="51"/>
      <c r="E5" s="51"/>
    </row>
    <row r="7" spans="1:5" ht="15" customHeight="1" x14ac:dyDescent="0.2">
      <c r="A7" s="5" t="s">
        <v>274</v>
      </c>
      <c r="B7" s="5" t="s">
        <v>275</v>
      </c>
      <c r="C7" s="5" t="s">
        <v>276</v>
      </c>
      <c r="D7" s="5" t="s">
        <v>277</v>
      </c>
      <c r="E7" s="5" t="s">
        <v>278</v>
      </c>
    </row>
    <row r="8" spans="1:5" ht="15" customHeight="1" x14ac:dyDescent="0.2">
      <c r="A8" s="3" t="s">
        <v>279</v>
      </c>
      <c r="B8" s="30">
        <v>625000</v>
      </c>
      <c r="C8" s="30">
        <v>1000000</v>
      </c>
      <c r="D8" s="30">
        <v>1025000</v>
      </c>
      <c r="E8" s="30">
        <v>1400000</v>
      </c>
    </row>
    <row r="9" spans="1:5" ht="15" customHeight="1" x14ac:dyDescent="0.2">
      <c r="A9" s="3" t="s">
        <v>280</v>
      </c>
      <c r="B9" s="30">
        <v>600000</v>
      </c>
      <c r="C9" s="30">
        <v>800000</v>
      </c>
      <c r="D9" s="30">
        <v>600000</v>
      </c>
      <c r="E9" s="30">
        <v>800000</v>
      </c>
    </row>
    <row r="10" spans="1:5" ht="15" customHeight="1" x14ac:dyDescent="0.2">
      <c r="A10" s="3" t="s">
        <v>281</v>
      </c>
      <c r="B10" s="30">
        <v>600000</v>
      </c>
      <c r="C10" s="30">
        <v>833000</v>
      </c>
      <c r="D10" s="30">
        <v>600000</v>
      </c>
      <c r="E10" s="30">
        <v>833000</v>
      </c>
    </row>
    <row r="11" spans="1:5" ht="15" customHeight="1" x14ac:dyDescent="0.2">
      <c r="A11" s="1" t="s">
        <v>282</v>
      </c>
      <c r="B11" s="24">
        <f>SUM(B8:B10)</f>
        <v>1825000</v>
      </c>
      <c r="C11" s="24">
        <f>SUM(C8:C10)</f>
        <v>2633000</v>
      </c>
      <c r="D11" s="24">
        <f>SUM(D8:D10)</f>
        <v>2225000</v>
      </c>
      <c r="E11" s="24">
        <f>SUM(E8:E10)</f>
        <v>3033000</v>
      </c>
    </row>
  </sheetData>
  <mergeCells count="2">
    <mergeCell ref="A1:E1"/>
    <mergeCell ref="A3:E5"/>
  </mergeCells>
  <pageMargins left="0.75" right="0.75" top="1" bottom="1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9"/>
  <sheetViews>
    <sheetView zoomScaleNormal="100" workbookViewId="0">
      <selection sqref="A1:F1"/>
    </sheetView>
  </sheetViews>
  <sheetFormatPr baseColWidth="10" defaultColWidth="8.6640625" defaultRowHeight="15" x14ac:dyDescent="0.2"/>
  <cols>
    <col min="1" max="1" width="36" customWidth="1"/>
    <col min="2" max="2" width="14" customWidth="1"/>
    <col min="3" max="3" width="16" customWidth="1"/>
    <col min="4" max="4" width="12" customWidth="1"/>
    <col min="5" max="5" width="18" customWidth="1"/>
    <col min="6" max="6" width="35" customWidth="1"/>
  </cols>
  <sheetData>
    <row r="1" spans="1:6" ht="27.75" customHeight="1" x14ac:dyDescent="0.2">
      <c r="A1" s="46" t="s">
        <v>283</v>
      </c>
      <c r="B1" s="46"/>
      <c r="C1" s="46"/>
      <c r="D1" s="46"/>
      <c r="E1" s="46"/>
      <c r="F1" s="46"/>
    </row>
    <row r="3" spans="1:6" ht="15" customHeight="1" x14ac:dyDescent="0.2">
      <c r="A3" s="47" t="s">
        <v>284</v>
      </c>
      <c r="B3" s="47"/>
      <c r="C3" s="47"/>
      <c r="D3" s="47"/>
      <c r="E3" s="47"/>
      <c r="F3" s="47"/>
    </row>
    <row r="5" spans="1:6" ht="15" customHeight="1" x14ac:dyDescent="0.2">
      <c r="A5" s="5" t="s">
        <v>285</v>
      </c>
      <c r="B5" s="5" t="s">
        <v>286</v>
      </c>
      <c r="C5" s="5" t="s">
        <v>287</v>
      </c>
      <c r="D5" s="5" t="s">
        <v>288</v>
      </c>
      <c r="E5" s="5" t="s">
        <v>289</v>
      </c>
      <c r="F5" s="5" t="s">
        <v>290</v>
      </c>
    </row>
    <row r="6" spans="1:6" ht="15" customHeight="1" x14ac:dyDescent="0.2">
      <c r="A6" s="1" t="s">
        <v>291</v>
      </c>
      <c r="B6" s="3" t="s">
        <v>55</v>
      </c>
      <c r="C6" s="30">
        <v>188000</v>
      </c>
      <c r="D6" s="38" t="s">
        <v>292</v>
      </c>
      <c r="E6" s="34">
        <v>11000000</v>
      </c>
      <c r="F6" s="2" t="s">
        <v>293</v>
      </c>
    </row>
    <row r="7" spans="1:6" ht="15" customHeight="1" x14ac:dyDescent="0.2">
      <c r="A7" s="3" t="s">
        <v>294</v>
      </c>
      <c r="B7" s="3" t="s">
        <v>138</v>
      </c>
      <c r="C7" s="16">
        <f>'P&amp;L'!Z9</f>
        <v>851531.07136333338</v>
      </c>
      <c r="D7" s="39">
        <v>8</v>
      </c>
      <c r="E7" s="17">
        <f>C7*D7</f>
        <v>6812248.570906667</v>
      </c>
      <c r="F7" s="2" t="s">
        <v>295</v>
      </c>
    </row>
    <row r="8" spans="1:6" ht="15" customHeight="1" x14ac:dyDescent="0.2">
      <c r="A8" s="1" t="s">
        <v>296</v>
      </c>
      <c r="B8" s="3" t="s">
        <v>297</v>
      </c>
      <c r="C8" s="16">
        <f>'P&amp;L'!AA9</f>
        <v>2820530.5769085279</v>
      </c>
      <c r="D8" s="40">
        <v>12</v>
      </c>
      <c r="E8" s="24">
        <f>C8*D8</f>
        <v>33846366.922902331</v>
      </c>
      <c r="F8" s="2" t="s">
        <v>298</v>
      </c>
    </row>
    <row r="9" spans="1:6" ht="15" customHeight="1" x14ac:dyDescent="0.2">
      <c r="A9" s="3" t="s">
        <v>299</v>
      </c>
      <c r="B9" s="3" t="s">
        <v>300</v>
      </c>
      <c r="C9" s="17">
        <f>C8*2</f>
        <v>5641061.1538170557</v>
      </c>
      <c r="D9" s="39">
        <v>12</v>
      </c>
      <c r="E9" s="17">
        <f>C9*D9</f>
        <v>67692733.845804662</v>
      </c>
      <c r="F9" s="2" t="s">
        <v>301</v>
      </c>
    </row>
    <row r="10" spans="1:6" ht="15" customHeight="1" x14ac:dyDescent="0.2">
      <c r="A10" s="1" t="s">
        <v>302</v>
      </c>
      <c r="B10" s="3" t="s">
        <v>303</v>
      </c>
      <c r="C10" s="17">
        <f>C9*1.8</f>
        <v>10153910.0768707</v>
      </c>
      <c r="D10" s="39">
        <v>12</v>
      </c>
      <c r="E10" s="24">
        <f>C10*D10</f>
        <v>121846920.9224484</v>
      </c>
      <c r="F10" s="2" t="s">
        <v>304</v>
      </c>
    </row>
    <row r="13" spans="1:6" ht="15" customHeight="1" x14ac:dyDescent="0.2">
      <c r="A13" s="45" t="s">
        <v>305</v>
      </c>
      <c r="B13" s="45"/>
      <c r="C13" s="45"/>
      <c r="D13" s="45"/>
      <c r="E13" s="45"/>
      <c r="F13" s="45"/>
    </row>
    <row r="14" spans="1:6" ht="15" customHeight="1" x14ac:dyDescent="0.2">
      <c r="A14" s="3" t="s">
        <v>306</v>
      </c>
      <c r="B14" s="16">
        <f>E6</f>
        <v>11000000</v>
      </c>
    </row>
    <row r="15" spans="1:6" ht="15" customHeight="1" x14ac:dyDescent="0.2">
      <c r="A15" s="3" t="s">
        <v>307</v>
      </c>
      <c r="B15" s="16">
        <f>E10</f>
        <v>121846920.9224484</v>
      </c>
    </row>
    <row r="16" spans="1:6" ht="15" customHeight="1" x14ac:dyDescent="0.2">
      <c r="A16" s="1" t="s">
        <v>308</v>
      </c>
      <c r="B16" s="41">
        <f>B15/B14</f>
        <v>11.076992811131673</v>
      </c>
      <c r="C16" s="2" t="s">
        <v>309</v>
      </c>
    </row>
    <row r="17" spans="1:3" ht="15" customHeight="1" x14ac:dyDescent="0.2">
      <c r="A17" s="3" t="s">
        <v>310</v>
      </c>
      <c r="B17" s="42">
        <f>'Cap Table'!F9</f>
        <v>0.10634526763559023</v>
      </c>
    </row>
    <row r="18" spans="1:3" ht="15" customHeight="1" x14ac:dyDescent="0.2">
      <c r="A18" s="1" t="s">
        <v>311</v>
      </c>
      <c r="B18" s="24">
        <f>B15*B17</f>
        <v>12957843.416070374</v>
      </c>
    </row>
    <row r="19" spans="1:3" ht="15" customHeight="1" x14ac:dyDescent="0.2">
      <c r="A19" s="1" t="s">
        <v>312</v>
      </c>
      <c r="B19" s="41">
        <f>B18/'Cap Table'!B16</f>
        <v>6.4789217080351866</v>
      </c>
      <c r="C19" s="2" t="s">
        <v>313</v>
      </c>
    </row>
  </sheetData>
  <mergeCells count="3">
    <mergeCell ref="A1:F1"/>
    <mergeCell ref="A3:F3"/>
    <mergeCell ref="A13:F13"/>
  </mergeCells>
  <pageMargins left="0.75" right="0.75" top="1" bottom="1" header="0.511811023622047" footer="0.511811023622047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5"/>
  <sheetViews>
    <sheetView zoomScaleNormal="100" workbookViewId="0">
      <selection sqref="A1:G1"/>
    </sheetView>
  </sheetViews>
  <sheetFormatPr baseColWidth="10" defaultColWidth="8.6640625" defaultRowHeight="15" x14ac:dyDescent="0.2"/>
  <cols>
    <col min="1" max="1" width="32" customWidth="1"/>
    <col min="2" max="6" width="14" customWidth="1"/>
    <col min="7" max="7" width="16" customWidth="1"/>
  </cols>
  <sheetData>
    <row r="1" spans="1:7" ht="27.75" customHeight="1" x14ac:dyDescent="0.2">
      <c r="A1" s="46" t="s">
        <v>314</v>
      </c>
      <c r="B1" s="46"/>
      <c r="C1" s="46"/>
      <c r="D1" s="46"/>
      <c r="E1" s="46"/>
      <c r="F1" s="46"/>
      <c r="G1" s="46"/>
    </row>
    <row r="3" spans="1:7" ht="15" customHeight="1" x14ac:dyDescent="0.2">
      <c r="A3" s="47" t="s">
        <v>315</v>
      </c>
      <c r="B3" s="47"/>
      <c r="C3" s="47"/>
      <c r="D3" s="47"/>
      <c r="E3" s="47"/>
      <c r="F3" s="47"/>
      <c r="G3" s="47"/>
    </row>
    <row r="5" spans="1:7" ht="15" customHeight="1" x14ac:dyDescent="0.2">
      <c r="A5" s="5" t="s">
        <v>43</v>
      </c>
      <c r="B5" s="5" t="s">
        <v>316</v>
      </c>
      <c r="C5" s="5" t="s">
        <v>317</v>
      </c>
      <c r="D5" s="5" t="s">
        <v>44</v>
      </c>
      <c r="E5" s="5" t="s">
        <v>318</v>
      </c>
      <c r="F5" s="5" t="s">
        <v>319</v>
      </c>
      <c r="G5" s="5" t="s">
        <v>320</v>
      </c>
    </row>
    <row r="6" spans="1:7" ht="15" customHeight="1" x14ac:dyDescent="0.2">
      <c r="A6" s="3" t="s">
        <v>321</v>
      </c>
      <c r="B6" s="6">
        <v>350000</v>
      </c>
      <c r="C6" s="6">
        <v>550000</v>
      </c>
      <c r="D6" s="6">
        <v>625000</v>
      </c>
      <c r="E6" s="6">
        <v>720000</v>
      </c>
      <c r="F6" s="6">
        <v>900000</v>
      </c>
      <c r="G6" s="32">
        <f>(F6-B6)/D6</f>
        <v>0.88</v>
      </c>
    </row>
    <row r="7" spans="1:7" ht="15" customHeight="1" x14ac:dyDescent="0.2">
      <c r="A7" s="3" t="s">
        <v>322</v>
      </c>
      <c r="B7" s="31">
        <f>Assumptions!$B$24*0.75*6</f>
        <v>450000</v>
      </c>
      <c r="C7" s="31">
        <f>Assumptions!$B$24*0.9*6</f>
        <v>540000</v>
      </c>
      <c r="D7" s="31">
        <f>Assumptions!$B$24*6</f>
        <v>600000</v>
      </c>
      <c r="E7" s="31">
        <f>Assumptions!$B$24*1.1*6</f>
        <v>660000.00000000012</v>
      </c>
      <c r="F7" s="31">
        <f>Assumptions!$B$24*1.25*6</f>
        <v>750000</v>
      </c>
      <c r="G7" s="32">
        <f>(F7-B7)/D7</f>
        <v>0.5</v>
      </c>
    </row>
    <row r="8" spans="1:7" ht="15" customHeight="1" x14ac:dyDescent="0.2">
      <c r="A8" s="3" t="s">
        <v>323</v>
      </c>
      <c r="B8" s="31">
        <f>4*Assumptions!$B$24</f>
        <v>400000</v>
      </c>
      <c r="C8" s="31">
        <f>5*Assumptions!$B$24</f>
        <v>500000</v>
      </c>
      <c r="D8" s="31">
        <f>6*Assumptions!$B$24</f>
        <v>600000</v>
      </c>
      <c r="E8" s="31">
        <f>7*Assumptions!$B$24</f>
        <v>700000</v>
      </c>
      <c r="F8" s="31">
        <f>8*Assumptions!$B$24</f>
        <v>800000</v>
      </c>
      <c r="G8" s="32">
        <f>(F8-B8)/D8</f>
        <v>0.66666666666666663</v>
      </c>
    </row>
    <row r="9" spans="1:7" ht="15" customHeight="1" x14ac:dyDescent="0.2">
      <c r="A9" s="3" t="s">
        <v>324</v>
      </c>
      <c r="B9" s="31">
        <f>Assumptions!$B$33*0.75*0.012*Assumptions!$B$40*Assumptions!$B$34</f>
        <v>14850</v>
      </c>
      <c r="C9" s="31">
        <f>Assumptions!$B$33*0.9*0.012*Assumptions!$B$40*Assumptions!$B$34</f>
        <v>17820</v>
      </c>
      <c r="D9" s="31">
        <f>Assumptions!$B$33*0.012*Assumptions!$B$40*Assumptions!$B$34</f>
        <v>19800</v>
      </c>
      <c r="E9" s="31">
        <f>Assumptions!$B$33*1.1*0.012*Assumptions!$B$40*Assumptions!$B$34</f>
        <v>21780</v>
      </c>
      <c r="F9" s="31">
        <f>Assumptions!$B$33*1.25*0.012*Assumptions!$B$40*Assumptions!$B$34</f>
        <v>24750</v>
      </c>
      <c r="G9" s="32">
        <f>(F9-B9)/D9</f>
        <v>0.5</v>
      </c>
    </row>
    <row r="10" spans="1:7" ht="15" customHeight="1" x14ac:dyDescent="0.2">
      <c r="A10" s="3" t="s">
        <v>325</v>
      </c>
      <c r="B10" s="6">
        <v>469000</v>
      </c>
      <c r="C10" s="6">
        <v>562500</v>
      </c>
      <c r="D10" s="6">
        <v>625000</v>
      </c>
      <c r="E10" s="6">
        <v>687500</v>
      </c>
      <c r="F10" s="6">
        <v>781000</v>
      </c>
      <c r="G10" s="32">
        <f>(F10-B10)/D10</f>
        <v>0.49919999999999998</v>
      </c>
    </row>
    <row r="12" spans="1:7" ht="15" customHeight="1" x14ac:dyDescent="0.2">
      <c r="A12" s="45" t="s">
        <v>326</v>
      </c>
      <c r="B12" s="45"/>
      <c r="C12" s="45"/>
      <c r="D12" s="45"/>
      <c r="E12" s="45"/>
      <c r="F12" s="45"/>
      <c r="G12" s="45"/>
    </row>
    <row r="13" spans="1:7" ht="15" customHeight="1" x14ac:dyDescent="0.2">
      <c r="A13" s="51" t="s">
        <v>327</v>
      </c>
      <c r="B13" s="51"/>
      <c r="C13" s="51"/>
      <c r="D13" s="51"/>
      <c r="E13" s="51"/>
      <c r="F13" s="51"/>
      <c r="G13" s="51"/>
    </row>
    <row r="14" spans="1:7" ht="15" customHeight="1" x14ac:dyDescent="0.2">
      <c r="A14" s="51"/>
      <c r="B14" s="51"/>
      <c r="C14" s="51"/>
      <c r="D14" s="51"/>
      <c r="E14" s="51"/>
      <c r="F14" s="51"/>
      <c r="G14" s="51"/>
    </row>
    <row r="15" spans="1:7" ht="15" customHeight="1" x14ac:dyDescent="0.2">
      <c r="A15" s="51"/>
      <c r="B15" s="51"/>
      <c r="C15" s="51"/>
      <c r="D15" s="51"/>
      <c r="E15" s="51"/>
      <c r="F15" s="51"/>
      <c r="G15" s="51"/>
    </row>
  </sheetData>
  <mergeCells count="4">
    <mergeCell ref="A1:G1"/>
    <mergeCell ref="A3:G3"/>
    <mergeCell ref="A12:G12"/>
    <mergeCell ref="A13:G15"/>
  </mergeCells>
  <pageMargins left="0.75" right="0.75" top="1" bottom="1" header="0.511811023622047" footer="0.511811023622047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3"/>
  <sheetViews>
    <sheetView zoomScaleNormal="100" workbookViewId="0">
      <selection activeCell="C15" sqref="C15"/>
    </sheetView>
  </sheetViews>
  <sheetFormatPr baseColWidth="10" defaultColWidth="8.6640625" defaultRowHeight="15" x14ac:dyDescent="0.2"/>
  <cols>
    <col min="1" max="1" width="36" customWidth="1"/>
    <col min="2" max="4" width="18" customWidth="1"/>
    <col min="5" max="5" width="14" customWidth="1"/>
  </cols>
  <sheetData>
    <row r="1" spans="1:5" ht="31.5" customHeight="1" x14ac:dyDescent="0.2">
      <c r="A1" s="46" t="s">
        <v>328</v>
      </c>
      <c r="B1" s="46"/>
      <c r="C1" s="46"/>
      <c r="D1" s="46"/>
      <c r="E1" s="46"/>
    </row>
    <row r="3" spans="1:5" ht="15" customHeight="1" x14ac:dyDescent="0.2">
      <c r="A3" s="47" t="s">
        <v>329</v>
      </c>
      <c r="B3" s="47"/>
      <c r="C3" s="47"/>
      <c r="D3" s="47"/>
      <c r="E3" s="47"/>
    </row>
    <row r="5" spans="1:5" ht="15" customHeight="1" x14ac:dyDescent="0.2">
      <c r="A5" s="45" t="s">
        <v>330</v>
      </c>
      <c r="B5" s="45"/>
      <c r="C5" s="45"/>
      <c r="D5" s="45"/>
      <c r="E5" s="45"/>
    </row>
    <row r="6" spans="1:5" ht="15" customHeight="1" x14ac:dyDescent="0.2">
      <c r="A6" s="25" t="s">
        <v>126</v>
      </c>
      <c r="B6" s="5" t="s">
        <v>331</v>
      </c>
      <c r="C6" s="5" t="s">
        <v>332</v>
      </c>
      <c r="D6" s="5" t="s">
        <v>333</v>
      </c>
      <c r="E6" s="5" t="s">
        <v>334</v>
      </c>
    </row>
    <row r="7" spans="1:5" ht="15" customHeight="1" x14ac:dyDescent="0.2">
      <c r="A7" s="1" t="s">
        <v>335</v>
      </c>
      <c r="B7" s="30">
        <v>188000</v>
      </c>
      <c r="C7" s="16">
        <f>'P&amp;L'!Z9</f>
        <v>851531.07136333338</v>
      </c>
      <c r="D7" s="16">
        <f>'P&amp;L'!AA9</f>
        <v>2820530.5769085279</v>
      </c>
      <c r="E7" s="41">
        <f>D7/B7</f>
        <v>15.002822217598553</v>
      </c>
    </row>
    <row r="8" spans="1:5" ht="15" customHeight="1" x14ac:dyDescent="0.2">
      <c r="A8" s="3" t="s">
        <v>336</v>
      </c>
      <c r="B8" s="30">
        <v>188000</v>
      </c>
      <c r="C8" s="16">
        <f>'P&amp;L'!Z6</f>
        <v>520622.73803000024</v>
      </c>
      <c r="D8" s="16">
        <f>'P&amp;L'!AA6</f>
        <v>1663959.7435751951</v>
      </c>
      <c r="E8" s="43">
        <f>D8/B8</f>
        <v>8.8508496998680588</v>
      </c>
    </row>
    <row r="9" spans="1:5" ht="15" customHeight="1" x14ac:dyDescent="0.2">
      <c r="A9" s="3" t="s">
        <v>337</v>
      </c>
      <c r="B9" s="30">
        <v>100000</v>
      </c>
      <c r="C9" s="16">
        <f>'P&amp;L'!Z7</f>
        <v>283333.33333333337</v>
      </c>
      <c r="D9" s="16">
        <f>'P&amp;L'!AA7</f>
        <v>583333.33333333337</v>
      </c>
      <c r="E9" s="43">
        <f>D9/B9</f>
        <v>5.8333333333333339</v>
      </c>
    </row>
    <row r="10" spans="1:5" ht="15" customHeight="1" x14ac:dyDescent="0.2">
      <c r="A10" s="3" t="s">
        <v>338</v>
      </c>
      <c r="B10" s="30">
        <v>0</v>
      </c>
      <c r="C10" s="16">
        <f>'P&amp;L'!Z8</f>
        <v>47575</v>
      </c>
      <c r="D10" s="16">
        <f>'P&amp;L'!AA8</f>
        <v>573237.5</v>
      </c>
      <c r="E10" s="38" t="s">
        <v>292</v>
      </c>
    </row>
    <row r="12" spans="1:5" ht="15" customHeight="1" x14ac:dyDescent="0.2">
      <c r="A12" s="45" t="s">
        <v>339</v>
      </c>
      <c r="B12" s="45"/>
      <c r="C12" s="45"/>
      <c r="D12" s="45"/>
      <c r="E12" s="45"/>
    </row>
    <row r="13" spans="1:5" ht="15" customHeight="1" x14ac:dyDescent="0.2">
      <c r="A13" s="3" t="s">
        <v>340</v>
      </c>
      <c r="B13" s="16">
        <f>Assumptions!$B$13</f>
        <v>100000</v>
      </c>
    </row>
    <row r="14" spans="1:5" ht="15" customHeight="1" x14ac:dyDescent="0.2">
      <c r="A14" s="3" t="s">
        <v>341</v>
      </c>
      <c r="B14" s="42">
        <f>Assumptions!$B$14</f>
        <v>2.5000000000000001E-2</v>
      </c>
    </row>
    <row r="15" spans="1:5" ht="15" customHeight="1" x14ac:dyDescent="0.2">
      <c r="A15" s="3" t="s">
        <v>342</v>
      </c>
      <c r="B15" s="16">
        <f>Assumptions!$B$24</f>
        <v>100000</v>
      </c>
    </row>
    <row r="16" spans="1:5" ht="15" customHeight="1" x14ac:dyDescent="0.2">
      <c r="A16" s="3" t="s">
        <v>343</v>
      </c>
      <c r="B16" s="16">
        <f>Assumptions!$B$25</f>
        <v>25000</v>
      </c>
    </row>
    <row r="17" spans="1:5" ht="15" customHeight="1" x14ac:dyDescent="0.2">
      <c r="A17" s="3" t="s">
        <v>344</v>
      </c>
      <c r="B17" s="43">
        <f>(Assumptions!$B$24*3*Assumptions!$B$29)/Assumptions!$B$25</f>
        <v>10.199999999999999</v>
      </c>
      <c r="C17" s="2" t="s">
        <v>345</v>
      </c>
    </row>
    <row r="18" spans="1:5" ht="15" customHeight="1" x14ac:dyDescent="0.2">
      <c r="A18" s="3" t="s">
        <v>346</v>
      </c>
      <c r="B18" s="16">
        <f>Assumptions!$B$34</f>
        <v>50</v>
      </c>
    </row>
    <row r="19" spans="1:5" ht="15" customHeight="1" x14ac:dyDescent="0.2">
      <c r="A19" s="3" t="s">
        <v>347</v>
      </c>
      <c r="B19" s="16">
        <f>Assumptions!$B$35</f>
        <v>3</v>
      </c>
    </row>
    <row r="20" spans="1:5" ht="15" customHeight="1" x14ac:dyDescent="0.2">
      <c r="A20" s="3" t="s">
        <v>348</v>
      </c>
      <c r="B20" s="43">
        <f>Assumptions!$B$34/Assumptions!$B$35</f>
        <v>16.666666666666668</v>
      </c>
    </row>
    <row r="22" spans="1:5" ht="15" customHeight="1" x14ac:dyDescent="0.2">
      <c r="A22" s="45" t="s">
        <v>349</v>
      </c>
      <c r="B22" s="45"/>
      <c r="C22" s="45"/>
      <c r="D22" s="45"/>
      <c r="E22" s="45"/>
    </row>
    <row r="23" spans="1:5" ht="15" customHeight="1" x14ac:dyDescent="0.2">
      <c r="A23" s="3" t="s">
        <v>196</v>
      </c>
      <c r="B23" s="16">
        <f>Assumptions!$B$6</f>
        <v>2000000</v>
      </c>
    </row>
    <row r="24" spans="1:5" ht="15" customHeight="1" x14ac:dyDescent="0.2">
      <c r="A24" s="3" t="s">
        <v>350</v>
      </c>
      <c r="B24" s="16">
        <f>'P&amp;L'!Z21</f>
        <v>-93146.671454666634</v>
      </c>
    </row>
    <row r="25" spans="1:5" ht="15" customHeight="1" x14ac:dyDescent="0.2">
      <c r="A25" s="1" t="s">
        <v>351</v>
      </c>
      <c r="B25" s="44">
        <f>'P&amp;L'!AA21</f>
        <v>121822.34961007437</v>
      </c>
    </row>
    <row r="26" spans="1:5" ht="15" customHeight="1" x14ac:dyDescent="0.2">
      <c r="A26" s="3" t="s">
        <v>352</v>
      </c>
      <c r="B26" s="16">
        <f>'Cash Flow'!B16</f>
        <v>-28675.678155406844</v>
      </c>
    </row>
    <row r="27" spans="1:5" ht="15" customHeight="1" x14ac:dyDescent="0.2">
      <c r="A27" s="1" t="s">
        <v>200</v>
      </c>
      <c r="B27" s="44">
        <f>'Cash Flow'!B17</f>
        <v>2028675.6781554075</v>
      </c>
    </row>
    <row r="29" spans="1:5" ht="15" customHeight="1" x14ac:dyDescent="0.2">
      <c r="A29" s="45" t="s">
        <v>353</v>
      </c>
      <c r="B29" s="45"/>
      <c r="C29" s="45"/>
      <c r="D29" s="45"/>
      <c r="E29" s="45"/>
    </row>
    <row r="30" spans="1:5" ht="15" customHeight="1" x14ac:dyDescent="0.2">
      <c r="A30" s="3" t="s">
        <v>354</v>
      </c>
      <c r="B30" s="16">
        <f>'Valuation Walk'!E6</f>
        <v>11000000</v>
      </c>
    </row>
    <row r="31" spans="1:5" ht="15" customHeight="1" x14ac:dyDescent="0.2">
      <c r="A31" s="3" t="s">
        <v>355</v>
      </c>
      <c r="B31" s="16">
        <f>'Valuation Walk'!E8</f>
        <v>33846366.922902331</v>
      </c>
    </row>
    <row r="32" spans="1:5" ht="15" customHeight="1" x14ac:dyDescent="0.2">
      <c r="A32" s="3" t="s">
        <v>356</v>
      </c>
      <c r="B32" s="16">
        <f>'Valuation Walk'!E10</f>
        <v>121846920.9224484</v>
      </c>
    </row>
    <row r="33" spans="1:2" ht="15" customHeight="1" x14ac:dyDescent="0.2">
      <c r="A33" s="1" t="s">
        <v>357</v>
      </c>
      <c r="B33" s="41">
        <f>'Valuation Walk'!B19</f>
        <v>6.4789217080351866</v>
      </c>
    </row>
  </sheetData>
  <mergeCells count="6">
    <mergeCell ref="A29:E29"/>
    <mergeCell ref="A1:E1"/>
    <mergeCell ref="A3:E3"/>
    <mergeCell ref="A5:E5"/>
    <mergeCell ref="A12:E12"/>
    <mergeCell ref="A22:E2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README</vt:lpstr>
      <vt:lpstr>Assumptions</vt:lpstr>
      <vt:lpstr>Property Sales</vt:lpstr>
      <vt:lpstr>AI Agent</vt:lpstr>
      <vt:lpstr>RWA</vt:lpstr>
      <vt:lpstr>P&amp;L</vt:lpstr>
      <vt:lpstr>Cash Flow</vt:lpstr>
      <vt:lpstr>Headcount</vt:lpstr>
      <vt:lpstr>Cap Table</vt:lpstr>
      <vt:lpstr>Scenarios</vt:lpstr>
      <vt:lpstr>Valuation Walk</vt:lpstr>
      <vt:lpstr>Sensitivity</vt:lpstr>
      <vt:lpstr>KPI 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gleisson chop</cp:lastModifiedBy>
  <cp:revision>0</cp:revision>
  <dcterms:created xsi:type="dcterms:W3CDTF">2026-05-09T10:38:54Z</dcterms:created>
  <dcterms:modified xsi:type="dcterms:W3CDTF">2026-05-11T21:11:10Z</dcterms:modified>
  <dc:language>en-US</dc:language>
</cp:coreProperties>
</file>