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4b6bd8b2744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8a159dcaf38e4926"/>
    <x:sheet xmlns:r="http://schemas.openxmlformats.org/officeDocument/2006/relationships" name="Assumptions" sheetId="2" r:id="R5dc18c54b431425a"/>
    <x:sheet xmlns:r="http://schemas.openxmlformats.org/officeDocument/2006/relationships" name="Use of Funds" sheetId="3" r:id="R5698c5a6bf264930"/>
    <x:sheet xmlns:r="http://schemas.openxmlformats.org/officeDocument/2006/relationships" name="Monthly Burn" sheetId="4" r:id="Rb6df41bfe4774784"/>
    <x:sheet xmlns:r="http://schemas.openxmlformats.org/officeDocument/2006/relationships" name="Milestone Gates" sheetId="5" r:id="Rbec08d057ed44515"/>
    <x:sheet xmlns:r="http://schemas.openxmlformats.org/officeDocument/2006/relationships" name="GTM Pricing" sheetId="6" r:id="R65df3e85d9d74fab"/>
    <x:sheet xmlns:r="http://schemas.openxmlformats.org/officeDocument/2006/relationships" name="Evidence Map" sheetId="7" r:id="R7cce2a4cf16a4593"/>
    <x:sheet xmlns:r="http://schemas.openxmlformats.org/officeDocument/2006/relationships" name="Checks" sheetId="8" r:id="R208849e7291145e9"/>
    <x:sheet xmlns:r="http://schemas.openxmlformats.org/officeDocument/2006/relationships" name="Sources" sheetId="9" r:id="R748b3ff26e924757"/>
    <x:sheet xmlns:r="http://schemas.openxmlformats.org/officeDocument/2006/relationships" name="Revenue Model" sheetId="10" r:id="R2d431082211e4ae2"/>
    <x:sheet xmlns:r="http://schemas.openxmlformats.org/officeDocument/2006/relationships" name="Financial Projection" sheetId="11" r:id="R00d9a9a3a4964619"/>
    <x:sheet xmlns:r="http://schemas.openxmlformats.org/officeDocument/2006/relationships" name="Scenario Inputs" sheetId="12" r:id="Racc457bdb26d4517"/>
    <x:sheet xmlns:r="http://schemas.openxmlformats.org/officeDocument/2006/relationships" name="Monthly Revenue" sheetId="13" r:id="R8433c363260d47a2"/>
    <x:sheet xmlns:r="http://schemas.openxmlformats.org/officeDocument/2006/relationships" name="Unit Economics" sheetId="14" r:id="R5664af7fb1724d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2">
    <x:numFmt numFmtId="164" formatCode="_(&quot;$&quot;_* #,##0_);_(&quot;$&quot;_* (#,##0);_(* &quot;-&quot;_);_(@_)"/>
    <x:numFmt numFmtId="165" formatCode="_(* #,##0_);_(* (#,##0);_(* &quot;-&quot;_);_(@_)"/>
    <x:numFmt numFmtId="166" formatCode="_(* 0.0%_);_(* (0.0%);_(* &quot;-&quot;_);_(@_)"/>
    <x:numFmt numFmtId="200" formatCode="$#,##0;[Red]($#,##0);-"/>
    <x:numFmt numFmtId="201" formatCode="#,##0;[Red](#,##0);-"/>
    <x:numFmt numFmtId="202" formatCode="0.00%"/>
    <x:numFmt numFmtId="203" formatCode="0.0%;[Red](0.0%);-"/>
    <x:numFmt numFmtId="204" formatCode="mmm-yy"/>
    <x:numFmt numFmtId="205" formatCode="0.0%"/>
    <x:numFmt numFmtId="206" formatCode="$#,##0;[Red]($#,##0);&quot;-&quot;"/>
    <x:numFmt numFmtId="207" formatCode="0.0"/>
    <x:numFmt numFmtId="208" formatCode="0"/>
  </x:numFmts>
  <x:fonts count="17">
    <x:font>
      <x:sz val="11"/>
      <x:name val="Carlito"/>
    </x:font>
    <x:font>
      <x:b/>
      <x:sz val="16"/>
      <x:color rgb="FF111827"/>
      <x:name val="Arial"/>
    </x:font>
    <x:font>
      <x:i/>
      <x:sz val="10"/>
      <x:color rgb="FF4B5563"/>
      <x:name val="Arial"/>
    </x:font>
    <x:font>
      <x:b/>
      <x:sz val="10"/>
      <x:color rgb="FF111827"/>
      <x:name val="Arial"/>
    </x:font>
    <x:font>
      <x:sz val="10"/>
      <x:color rgb="FF111827"/>
      <x:name val="Arial"/>
    </x:font>
    <x:font>
      <x:sz val="10"/>
      <x:color rgb="FF0000FF"/>
      <x:name val="Arial"/>
    </x:font>
    <x:font>
      <x:i/>
      <x:sz val="10"/>
      <x:color rgb="FF172033"/>
      <x:name val="Arial"/>
    </x:font>
    <x:font>
      <x:i/>
      <x:sz val="11"/>
      <x:color rgb="FF172033"/>
      <x:name val="Carlito"/>
    </x:font>
    <x:font>
      <x:sz val="11"/>
      <x:color rgb="FF1463FF"/>
      <x:name val="Carlito"/>
    </x:font>
    <x:font>
      <x:b/>
      <x:sz val="11"/>
      <x:color rgb="FF172033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i/>
      <x:sz val="11"/>
      <x:color rgb="FF667085"/>
      <x:name val="Carlito"/>
    </x:font>
    <x:font>
      <x:sz val="10"/>
      <x:color rgb="FF172033"/>
      <x:name val="Aptos"/>
    </x:font>
    <x:font>
      <x:b/>
      <x:sz val="16"/>
      <x:color rgb="FFFFFFFF"/>
      <x:name val="Aptos"/>
    </x:font>
    <x:font>
      <x:sz val="10"/>
      <x:color rgb="FF1463FF"/>
      <x:name val="Aptos"/>
    </x:font>
    <x:font>
      <x:b/>
      <x:sz val="10"/>
      <x:color rgb="FFFFFFFF"/>
      <x:name val="Aptos"/>
    </x:font>
  </x:fonts>
  <x:fills count="11">
    <x:fill>
      <x:patternFill patternType="none"/>
    </x:fill>
    <x:fill>
      <x:patternFill patternType="gray125"/>
    </x:fill>
    <x:fill>
      <x:patternFill patternType="solid">
        <x:fgColor rgb="FFEAF1FF"/>
      </x:patternFill>
    </x:fill>
    <x:fill>
      <x:patternFill patternType="solid">
        <x:fgColor rgb="FFFFF3C7"/>
      </x:patternFill>
    </x:fill>
    <x:fill>
      <x:patternFill patternType="solid">
        <x:fgColor rgb="FF07132D"/>
      </x:patternFill>
    </x:fill>
    <x:fill>
      <x:patternFill patternType="solid">
        <x:fgColor rgb="FFE8F5EC"/>
      </x:patternFill>
    </x:fill>
    <x:fill>
      <x:patternFill patternType="solid">
        <x:fgColor rgb="FFF7F9FC"/>
      </x:patternFill>
    </x:fill>
    <x:fill>
      <x:patternFill patternType="solid">
        <x:fgColor rgb="FFFDEBEC"/>
      </x:patternFill>
    </x:fill>
    <x:fill>
      <x:patternFill patternType="solid">
        <x:fgColor rgb="FF07132D"/>
      </x:patternFill>
    </x:fill>
    <x:fill>
      <x:patternFill patternType="solid">
        <x:fgColor rgb="FFEAF1FF"/>
      </x:patternFill>
    </x:fill>
    <x:fill>
      <x:patternFill patternType="solid">
        <x:fgColor rgb="FFFFF3C7"/>
      </x:patternFill>
    </x:fill>
  </x:fills>
  <x:borders count="20">
    <x:border/>
    <x:border>
      <x:bottom style="thin">
        <x:color rgb="FF9CA3AF"/>
      </x:bottom>
    </x:border>
    <x:border>
      <x:left style="thin">
        <x:color rgb="FFD1D5DB"/>
      </x:left>
      <x:top style="thin">
        <x:color rgb="FFD1D5DB"/>
      </x:top>
      <x:bottom style="thin">
        <x:color rgb="FFD1D5DB"/>
      </x:bottom>
    </x:border>
    <x:border>
      <x:top style="thin">
        <x:color rgb="FFD1D5DB"/>
      </x:top>
      <x:bottom style="thin">
        <x:color rgb="FFD1D5DB"/>
      </x:bottom>
    </x:border>
    <x:border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bottom style="thin">
        <x:color rgb="FF6B7280"/>
      </x:bottom>
    </x:border>
    <x:border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bottom style="thin">
        <x:color rgb="FFE5E7EB"/>
      </x:bottom>
    </x:border>
    <x:border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top style="thin">
        <x:color rgb="FFE5E7EB"/>
      </x:top>
      <x:bottom style="thin">
        <x:color rgb="FFE5E7EB"/>
      </x:bottom>
    </x:border>
    <x:border>
      <x:right style="thin">
        <x:color rgb="FFE5E7EB"/>
      </x:right>
      <x:top style="thin">
        <x:color rgb="FFE5E7EB"/>
      </x:top>
    </x:border>
    <x:border>
      <x:left style="thin">
        <x:color rgb="FFE5E7EB"/>
      </x:left>
      <x:right style="thin">
        <x:color rgb="FFE5E7EB"/>
      </x:right>
      <x:top style="thin">
        <x:color rgb="FFE5E7EB"/>
      </x:top>
    </x:border>
    <x:border>
      <x:left style="thin">
        <x:color rgb="FFE5E7EB"/>
      </x:left>
      <x:top style="thin">
        <x:color rgb="FFE5E7EB"/>
      </x:top>
    </x:border>
    <x:border>
      <x:bottom style="thin">
        <x:color rgb="FFD9E1F2"/>
      </x:bottom>
    </x:border>
    <x:border>
      <x:left style="thin">
        <x:color rgb="FFD9E1F2"/>
      </x:left>
      <x:top style="thin">
        <x:color rgb="FFD9E1F2"/>
      </x:top>
      <x:bottom style="thin">
        <x:color rgb="FFD9E1F2"/>
      </x:bottom>
    </x:border>
    <x:border>
      <x:top style="thin">
        <x:color rgb="FFD9E1F2"/>
      </x:top>
      <x:bottom style="thin">
        <x:color rgb="FFD9E1F2"/>
      </x:bottom>
    </x:border>
    <x:border>
      <x:right style="thin">
        <x:color rgb="FFD9E1F2"/>
      </x:right>
      <x:top style="thin">
        <x:color rgb="FFD9E1F2"/>
      </x:top>
      <x:bottom style="thin">
        <x:color rgb="FFD9E1F2"/>
      </x:bottom>
    </x:border>
    <x:border>
      <x:top style="thin">
        <x:color rgb="FFD9E1F2"/>
      </x:top>
    </x:border>
  </x:borders>
  <x:cellStyleXfs count="1">
    <x:xf numFmtId="0" fontId="0" fillId="0" borderId="0"/>
  </x:cellStyleXfs>
  <x:cellXfs count="208">
    <x:xf numFmtId="0" fontId="0" fillId="0" borderId="0" xfId="0"/>
    <x:xf numFmtId="0" fontId="1" fillId="0" borderId="0" xfId="0"/>
    <x:xf numFmtId="0" fontId="1" fillId="0" borderId="1" xfId="0"/>
    <x:xf numFmtId="0" fontId="2" fillId="0" borderId="0" xfId="0"/>
    <x:xf numFmtId="0" fontId="0" fillId="0" borderId="0" xfId="0"/>
    <x:xf numFmtId="0" fontId="3" fillId="0" borderId="0" xfId="0"/>
    <x:xf numFmtId="0" fontId="3" fillId="0" borderId="2" xfId="0"/>
    <x:xf numFmtId="0" fontId="3" fillId="0" borderId="3" xfId="0"/>
    <x:xf numFmtId="0" fontId="3" fillId="0" borderId="4" xfId="0"/>
    <x:xf numFmtId="0" fontId="3" fillId="0" borderId="0" xfId="0"/>
    <x:xf numFmtId="0" fontId="3" fillId="0" borderId="0" xfId="0" applyAlignment="1">
      <x:alignment horizontal="center"/>
    </x:xf>
    <x:xf numFmtId="0" fontId="3" fillId="0" borderId="0" xfId="0" applyAlignment="1">
      <x:alignment horizontal="center" vertical="center"/>
    </x:xf>
    <x:xf numFmtId="0" fontId="3" fillId="0" borderId="0" xfId="0" applyAlignment="1">
      <x:alignment horizontal="center" vertical="center" wrapText="1"/>
    </x:xf>
    <x:xf numFmtId="0" fontId="3" fillId="0" borderId="5" xfId="0" applyAlignment="1">
      <x:alignment horizontal="center" vertical="center" wrapText="1"/>
    </x:xf>
    <x:xf numFmtId="0" fontId="4" fillId="0" borderId="0" xfId="0"/>
    <x:xf numFmtId="0" fontId="4" fillId="0" borderId="0" xfId="0" applyAlignment="1">
      <x:alignment vertical="top"/>
    </x:xf>
    <x:xf numFmtId="0" fontId="4" fillId="0" borderId="0" xfId="0" applyAlignment="1">
      <x:alignment vertical="top" wrapText="1"/>
    </x:xf>
    <x:xf numFmtId="0" fontId="4" fillId="0" borderId="6" xfId="0" applyAlignment="1">
      <x:alignment vertical="top" wrapText="1"/>
    </x:xf>
    <x:xf numFmtId="0" fontId="4" fillId="0" borderId="7" xfId="0" applyAlignment="1">
      <x:alignment vertical="top" wrapText="1"/>
    </x:xf>
    <x:xf numFmtId="0" fontId="4" fillId="0" borderId="8" xfId="0" applyAlignment="1">
      <x:alignment vertical="top" wrapText="1"/>
    </x:xf>
    <x:xf numFmtId="0" fontId="4" fillId="0" borderId="9" xfId="0" applyAlignment="1">
      <x:alignment vertical="top" wrapText="1"/>
    </x:xf>
    <x:xf numFmtId="0" fontId="4" fillId="0" borderId="10" xfId="0" applyAlignment="1">
      <x:alignment vertical="top" wrapText="1"/>
    </x:xf>
    <x:xf numFmtId="0" fontId="4" fillId="0" borderId="11" xfId="0" applyAlignment="1">
      <x:alignment vertical="top" wrapText="1"/>
    </x:xf>
    <x:xf numFmtId="0" fontId="4" fillId="0" borderId="12" xfId="0" applyAlignment="1">
      <x:alignment vertical="top" wrapText="1"/>
    </x:xf>
    <x:xf numFmtId="0" fontId="4" fillId="0" borderId="13" xfId="0" applyAlignment="1">
      <x:alignment vertical="top" wrapText="1"/>
    </x:xf>
    <x:xf numFmtId="0" fontId="4" fillId="0" borderId="14" xfId="0" applyAlignment="1">
      <x:alignment vertical="top" wrapText="1"/>
    </x:xf>
    <x:xf numFmtId="164" fontId="4" fillId="0" borderId="7" xfId="0" applyAlignment="1">
      <x:alignment vertical="top" wrapText="1"/>
    </x:xf>
    <x:xf numFmtId="164" fontId="4" fillId="0" borderId="10" xfId="0" applyAlignment="1">
      <x:alignment vertical="top" wrapText="1"/>
    </x:xf>
    <x:xf numFmtId="0" fontId="5" fillId="0" borderId="7" xfId="0" applyAlignment="1">
      <x:alignment vertical="top" wrapText="1"/>
    </x:xf>
    <x:xf numFmtId="0" fontId="5" fillId="0" borderId="10" xfId="0" applyAlignment="1">
      <x:alignment vertical="top" wrapText="1"/>
    </x:xf>
    <x:xf numFmtId="0" fontId="5" fillId="0" borderId="13" xfId="0" applyAlignment="1">
      <x:alignment vertical="top" wrapText="1"/>
    </x:xf>
    <x:xf numFmtId="0" fontId="5" fillId="0" borderId="7" xfId="0" applyAlignment="1">
      <x:alignment vertical="top" wrapText="1"/>
    </x:xf>
    <x:xf numFmtId="0" fontId="5" fillId="0" borderId="10" xfId="0" applyAlignment="1">
      <x:alignment vertical="top" wrapText="1"/>
    </x:xf>
    <x:xf numFmtId="0" fontId="5" fillId="0" borderId="13" xfId="0" applyAlignment="1">
      <x:alignment vertical="top" wrapText="1"/>
    </x:xf>
    <x:xf numFmtId="164" fontId="5" fillId="0" borderId="7" xfId="0" applyAlignment="1">
      <x:alignment vertical="top" wrapText="1"/>
    </x:xf>
    <x:xf numFmtId="164" fontId="5" fillId="0" borderId="10" xfId="0" applyAlignment="1">
      <x:alignment vertical="top" wrapText="1"/>
    </x:xf>
    <x:xf numFmtId="165" fontId="5" fillId="0" borderId="13" xfId="0" applyAlignment="1">
      <x:alignment vertical="top" wrapText="1"/>
    </x:xf>
    <x:xf numFmtId="164" fontId="4" fillId="0" borderId="13" xfId="0" applyAlignment="1">
      <x:alignment vertical="top" wrapText="1"/>
    </x:xf>
    <x:xf numFmtId="166" fontId="4" fillId="0" borderId="7" xfId="0" applyAlignment="1">
      <x:alignment vertical="top" wrapText="1"/>
    </x:xf>
    <x:xf numFmtId="166" fontId="4" fillId="0" borderId="10" xfId="0" applyAlignment="1">
      <x:alignment vertical="top" wrapText="1"/>
    </x:xf>
    <x:xf numFmtId="166" fontId="4" fillId="0" borderId="13" xfId="0" applyAlignment="1">
      <x:alignment vertical="top" wrapText="1"/>
    </x:xf>
    <x:xf numFmtId="0" fontId="3" fillId="0" borderId="12" xfId="0" applyAlignment="1">
      <x:alignment vertical="top" wrapText="1"/>
    </x:xf>
    <x:xf numFmtId="164" fontId="3" fillId="0" borderId="13" xfId="0" applyAlignment="1">
      <x:alignment vertical="top" wrapText="1"/>
    </x:xf>
    <x:xf numFmtId="166" fontId="3" fillId="0" borderId="13" xfId="0" applyAlignment="1">
      <x:alignment vertical="top" wrapText="1"/>
    </x:xf>
    <x:xf numFmtId="0" fontId="3" fillId="0" borderId="14" xfId="0" applyAlignment="1">
      <x:alignment vertical="top" wrapText="1"/>
    </x:xf>
    <x:xf numFmtId="164" fontId="4" fillId="0" borderId="6" xfId="0" applyAlignment="1">
      <x:alignment vertical="top" wrapText="1"/>
    </x:xf>
    <x:xf numFmtId="164" fontId="4" fillId="0" borderId="8" xfId="0" applyAlignment="1">
      <x:alignment vertical="top" wrapText="1"/>
    </x:xf>
    <x:xf numFmtId="164" fontId="4" fillId="0" borderId="9" xfId="0" applyAlignment="1">
      <x:alignment vertical="top" wrapText="1"/>
    </x:xf>
    <x:xf numFmtId="164" fontId="4" fillId="0" borderId="11" xfId="0" applyAlignment="1">
      <x:alignment vertical="top" wrapText="1"/>
    </x:xf>
    <x:xf numFmtId="164" fontId="4" fillId="0" borderId="7" xfId="0" applyAlignment="1">
      <x:alignment vertical="top" wrapText="1"/>
    </x:xf>
    <x:xf numFmtId="164" fontId="4" fillId="0" borderId="10" xfId="0" applyAlignment="1">
      <x:alignment vertical="top" wrapText="1"/>
    </x:xf>
    <x:xf numFmtId="164" fontId="5" fillId="0" borderId="7" xfId="0" applyAlignment="1">
      <x:alignment vertical="top" wrapText="1"/>
    </x:xf>
    <x:xf numFmtId="164" fontId="5" fillId="0" borderId="10" xfId="0" applyAlignment="1">
      <x:alignment vertical="top" wrapText="1"/>
    </x:xf>
    <x:xf numFmtId="165" fontId="5" fillId="0" borderId="13" xfId="0" applyAlignment="1">
      <x:alignment vertical="top" wrapText="1"/>
    </x:xf>
    <x:xf numFmtId="166" fontId="4" fillId="0" borderId="7" xfId="0" applyAlignment="1">
      <x:alignment vertical="top" wrapText="1"/>
    </x:xf>
    <x:xf numFmtId="166" fontId="4" fillId="0" borderId="10" xfId="0" applyAlignment="1">
      <x:alignment vertical="top" wrapText="1"/>
    </x:xf>
    <x:xf numFmtId="164" fontId="3" fillId="0" borderId="13" xfId="0" applyAlignment="1">
      <x:alignment vertical="top" wrapText="1"/>
    </x:xf>
    <x:xf numFmtId="166" fontId="3" fillId="0" borderId="13" xfId="0" applyAlignment="1">
      <x:alignment vertical="top" wrapText="1"/>
    </x:xf>
    <x:xf numFmtId="164" fontId="4" fillId="0" borderId="6" xfId="0" applyAlignment="1">
      <x:alignment vertical="top" wrapText="1"/>
    </x:xf>
    <x:xf numFmtId="164" fontId="4" fillId="0" borderId="8" xfId="0" applyAlignment="1">
      <x:alignment vertical="top" wrapText="1"/>
    </x:xf>
    <x:xf numFmtId="164" fontId="4" fillId="0" borderId="9" xfId="0" applyAlignment="1">
      <x:alignment vertical="top" wrapText="1"/>
    </x:xf>
    <x:xf numFmtId="164" fontId="4" fillId="0" borderId="11" xfId="0" applyAlignment="1">
      <x:alignment vertical="top" wrapText="1"/>
    </x:xf>
    <x:xf numFmtId="0" fontId="2" fillId="2" borderId="0" xfId="0" applyNumberFormat="1" applyFont="1" applyFill="1" applyBorder="1"/>
    <x:xf numFmtId="0" fontId="0" fillId="2" borderId="0" xfId="0" applyNumberFormat="1" applyFont="1" applyFill="1" applyBorder="1"/>
    <x:xf numFmtId="0" fontId="6" fillId="2" borderId="0" xfId="0" applyNumberFormat="1" applyFont="1" applyFill="1" applyBorder="1"/>
    <x:xf numFmtId="0" fontId="7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8" fillId="3" borderId="0" xfId="0" applyNumberFormat="1" applyFont="1" applyFill="1" applyBorder="1"/>
    <x:xf numFmtId="200" fontId="8" fillId="3" borderId="0" xfId="0" applyNumberFormat="1" applyFont="1" applyFill="1" applyBorder="1"/>
    <x:xf numFmtId="0" fontId="9" fillId="0" borderId="0" xfId="0" applyNumberFormat="1" applyFont="1" applyFill="1" applyBorder="1"/>
    <x:xf numFmtId="0" fontId="0" fillId="0" borderId="15" xfId="0" applyNumberFormat="1" applyFont="1" applyFill="1" applyBorder="1"/>
    <x:xf numFmtId="0" fontId="0" fillId="4" borderId="0" xfId="0" applyNumberFormat="1" applyFont="1" applyFill="1" applyBorder="1"/>
    <x:xf numFmtId="0" fontId="10" fillId="4" borderId="0" xfId="0" applyNumberFormat="1" applyFont="1" applyFill="1" applyBorder="1"/>
    <x:xf numFmtId="0" fontId="10" fillId="4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11" fillId="4" borderId="0" xfId="0" applyNumberFormat="1" applyFont="1" applyFill="1" applyBorder="1"/>
    <x:xf numFmtId="0" fontId="11" fillId="4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/>
    <x:xf numFmtId="0" fontId="9" fillId="2" borderId="16" xfId="0" applyNumberFormat="1" applyFont="1" applyFill="1" applyBorder="1"/>
    <x:xf numFmtId="0" fontId="9" fillId="2" borderId="17" xfId="0" applyNumberFormat="1" applyFont="1" applyFill="1" applyBorder="1"/>
    <x:xf numFmtId="0" fontId="9" fillId="2" borderId="18" xfId="0" applyNumberFormat="1" applyFont="1" applyFill="1" applyBorder="1"/>
    <x:xf numFmtId="0" fontId="9" fillId="2" borderId="16" xfId="0" applyNumberFormat="1" applyFont="1" applyFill="1" applyBorder="1" applyAlignment="1">
      <x:alignment wrapText="1"/>
    </x:xf>
    <x:xf numFmtId="0" fontId="9" fillId="2" borderId="17" xfId="0" applyNumberFormat="1" applyFont="1" applyFill="1" applyBorder="1" applyAlignment="1">
      <x:alignment wrapText="1"/>
    </x:xf>
    <x:xf numFmtId="0" fontId="9" fillId="2" borderId="18" xfId="0" applyNumberFormat="1" applyFont="1" applyFill="1" applyBorder="1" applyAlignment="1">
      <x:alignment wrapText="1"/>
    </x:xf>
    <x:xf numFmtId="0" fontId="9" fillId="2" borderId="16" xfId="0" applyNumberFormat="1" applyFont="1" applyFill="1" applyBorder="1" applyAlignment="1">
      <x:alignment horizontal="center" wrapText="1"/>
    </x:xf>
    <x:xf numFmtId="0" fontId="9" fillId="2" borderId="17" xfId="0" applyNumberFormat="1" applyFont="1" applyFill="1" applyBorder="1" applyAlignment="1">
      <x:alignment horizontal="center" wrapText="1"/>
    </x:xf>
    <x:xf numFmtId="0" fontId="9" fillId="2" borderId="18" xfId="0" applyNumberFormat="1" applyFont="1" applyFill="1" applyBorder="1" applyAlignment="1">
      <x:alignment horizontal="center" wrapText="1"/>
    </x:xf>
    <x:xf numFmtId="0" fontId="9" fillId="2" borderId="16" xfId="0" applyNumberFormat="1" applyFont="1" applyFill="1" applyBorder="1" applyAlignment="1">
      <x:alignment horizontal="center" vertical="center" wrapText="1"/>
    </x:xf>
    <x:xf numFmtId="0" fontId="9" fillId="2" borderId="17" xfId="0" applyNumberFormat="1" applyFont="1" applyFill="1" applyBorder="1" applyAlignment="1">
      <x:alignment horizontal="center" vertical="center" wrapText="1"/>
    </x:xf>
    <x:xf numFmtId="0" fontId="9" fillId="2" borderId="18" xfId="0" applyNumberFormat="1" applyFont="1" applyFill="1" applyBorder="1" applyAlignment="1">
      <x:alignment horizontal="center" vertical="center" wrapText="1"/>
    </x:xf>
    <x:xf numFmtId="201" fontId="8" fillId="3" borderId="0" xfId="0" applyNumberFormat="1" applyFont="1" applyFill="1" applyBorder="1"/>
    <x:xf numFmtId="202" fontId="8" fillId="3" borderId="0" xfId="0" applyNumberFormat="1" applyFont="1" applyFill="1" applyBorder="1"/>
    <x:xf numFmtId="203" fontId="8" fillId="3" borderId="0" xfId="0" applyNumberFormat="1" applyFont="1" applyFill="1" applyBorder="1"/>
    <x:xf numFmtId="200" fontId="0" fillId="0" borderId="0" xfId="0" applyNumberFormat="1" applyFont="1" applyFill="1" applyBorder="1"/>
    <x:xf numFmtId="200" fontId="0" fillId="2" borderId="0" xfId="0" applyNumberFormat="1" applyFont="1" applyFill="1" applyBorder="1"/>
    <x:xf numFmtId="200" fontId="9" fillId="2" borderId="0" xfId="0" applyNumberFormat="1" applyFont="1" applyFill="1" applyBorder="1"/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0" fontId="9" fillId="5" borderId="0" xfId="0" applyNumberFormat="1" applyFont="1" applyFill="1" applyBorder="1"/>
    <x:xf numFmtId="200" fontId="9" fillId="5" borderId="0" xfId="0" applyNumberFormat="1" applyFont="1" applyFill="1" applyBorder="1"/>
    <x:xf numFmtId="0" fontId="0" fillId="6" borderId="0" xfId="0" applyNumberFormat="1" applyFont="1" applyFill="1" applyBorder="1"/>
    <x:xf numFmtId="0" fontId="12" fillId="6" borderId="0" xfId="0" applyNumberFormat="1" applyFont="1" applyFill="1" applyBorder="1"/>
    <x:xf numFmtId="0" fontId="12" fillId="6" borderId="0" xfId="0" applyNumberFormat="1" applyFont="1" applyFill="1" applyBorder="1" applyAlignment="1">
      <x:alignment wrapText="1"/>
    </x:xf>
    <x:xf numFmtId="0" fontId="12" fillId="6" borderId="0" xfId="0" applyNumberFormat="1" applyFont="1" applyFill="1" applyBorder="1" applyAlignment="1">
      <x:alignment vertical="center" wrapText="1"/>
    </x:xf>
    <x:xf numFmtId="203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0" fillId="3" borderId="0" xfId="0" applyNumberFormat="1" applyFont="1" applyFill="1" applyBorder="1"/>
    <x:xf numFmtId="0" fontId="0" fillId="7" borderId="0" xfId="0" applyNumberFormat="1" applyFont="1" applyFill="1" applyBorder="1"/>
    <x:xf numFmtId="200" fontId="0" fillId="7" borderId="0" xfId="0" applyNumberFormat="1" applyFont="1" applyFill="1" applyBorder="1"/>
    <x:xf numFmtId="0" fontId="9" fillId="7" borderId="0" xfId="0" applyNumberFormat="1" applyFont="1" applyFill="1" applyBorder="1"/>
    <x:xf numFmtId="200" fontId="9" fillId="7" borderId="0" xfId="0" applyNumberFormat="1" applyFont="1" applyFill="1" applyBorder="1"/>
    <x:xf numFmtId="0" fontId="0" fillId="0" borderId="19" xfId="0" applyNumberFormat="1" applyFont="1" applyFill="1" applyBorder="1"/>
    <x:xf numFmtId="200" fontId="0" fillId="0" borderId="19" xfId="0" applyNumberFormat="1" applyFont="1" applyFill="1" applyBorder="1"/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0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11" fillId="4" borderId="0" xfId="0" applyNumberFormat="1" applyFont="1" applyFill="1" applyBorder="1" applyAlignment="1">
      <x:alignment vertical="center" wrapText="1"/>
    </x:xf>
    <x:xf numFmtId="201" fontId="8" fillId="3" borderId="0" xfId="0" applyNumberFormat="1" applyFont="1" applyFill="1" applyBorder="1" applyAlignment="1">
      <x:alignment wrapText="1"/>
    </x:xf>
    <x:xf numFmtId="200" fontId="8" fillId="3" borderId="0" xfId="0" applyNumberFormat="1" applyFont="1" applyFill="1" applyBorder="1" applyAlignment="1">
      <x:alignment wrapText="1"/>
    </x:xf>
    <x:xf numFmtId="202" fontId="8" fillId="3" borderId="0" xfId="0" applyNumberFormat="1" applyFont="1" applyFill="1" applyBorder="1" applyAlignment="1">
      <x:alignment wrapText="1"/>
    </x:xf>
    <x:xf numFmtId="203" fontId="8" fillId="3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wrapText="1"/>
    </x:xf>
    <x:xf numFmtId="200" fontId="9" fillId="2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wrapText="1"/>
    </x:xf>
    <x:xf numFmtId="200" fontId="9" fillId="5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201" fontId="8" fillId="3" borderId="0" xfId="0" applyNumberFormat="1" applyFont="1" applyFill="1" applyBorder="1" applyAlignment="1">
      <x:alignment vertical="center" wrapText="1"/>
    </x:xf>
    <x:xf numFmtId="200" fontId="8" fillId="3" borderId="0" xfId="0" applyNumberFormat="1" applyFont="1" applyFill="1" applyBorder="1" applyAlignment="1">
      <x:alignment vertical="center" wrapText="1"/>
    </x:xf>
    <x:xf numFmtId="202" fontId="8" fillId="3" borderId="0" xfId="0" applyNumberFormat="1" applyFont="1" applyFill="1" applyBorder="1" applyAlignment="1">
      <x:alignment vertical="center" wrapText="1"/>
    </x:xf>
    <x:xf numFmtId="203" fontId="8" fillId="3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 wrapText="1"/>
    </x:xf>
    <x:xf numFmtId="200" fontId="9" fillId="2" borderId="0" xfId="0" applyNumberFormat="1" applyFont="1" applyFill="1" applyBorder="1" applyAlignment="1">
      <x:alignment vertical="center" wrapText="1"/>
    </x:xf>
    <x:xf numFmtId="0" fontId="9" fillId="5" borderId="0" xfId="0" applyNumberFormat="1" applyFont="1" applyFill="1" applyBorder="1" applyAlignment="1">
      <x:alignment vertical="center" wrapText="1"/>
    </x:xf>
    <x:xf numFmtId="200" fontId="9" fillId="5" borderId="0" xfId="0" applyNumberFormat="1" applyFont="1" applyFill="1" applyBorder="1" applyAlignment="1">
      <x:alignment vertical="center" wrapText="1"/>
    </x:xf>
    <x:xf numFmtId="203" fontId="0" fillId="0" borderId="0" xfId="0" applyNumberFormat="1" applyFont="1" applyFill="1" applyBorder="1" applyAlignment="1">
      <x:alignment wrapText="1"/>
    </x:xf>
    <x:xf numFmtId="0" fontId="9" fillId="7" borderId="0" xfId="0" applyNumberFormat="1" applyFont="1" applyFill="1" applyBorder="1" applyAlignment="1">
      <x:alignment wrapText="1"/>
    </x:xf>
    <x:xf numFmtId="200" fontId="9" fillId="7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vertical="center" wrapText="1"/>
    </x:xf>
    <x:xf numFmtId="0" fontId="9" fillId="7" borderId="0" xfId="0" applyNumberFormat="1" applyFont="1" applyFill="1" applyBorder="1" applyAlignment="1">
      <x:alignment vertical="center" wrapText="1"/>
    </x:xf>
    <x:xf numFmtId="200" fontId="9" fillId="7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0" fontId="13" fillId="8" borderId="0" xfId="0" applyNumberFormat="1" applyFont="1" applyFill="1" applyBorder="1"/>
    <x:xf numFmtId="0" fontId="14" fillId="8" borderId="0" xfId="0" applyNumberFormat="1" applyFont="1" applyFill="1" applyBorder="1"/>
    <x:xf numFmtId="0" fontId="13" fillId="9" borderId="0" xfId="0" applyNumberFormat="1" applyFont="1" applyFill="1" applyBorder="1"/>
    <x:xf numFmtId="0" fontId="13" fillId="9" borderId="0" xfId="0" applyNumberFormat="1" applyFont="1" applyFill="1" applyBorder="1" applyAlignment="1">
      <x:alignment wrapText="1"/>
    </x:xf>
    <x:xf numFmtId="0" fontId="13" fillId="9" borderId="0" xfId="0" applyNumberFormat="1" applyFont="1" applyFill="1" applyBorder="1" applyAlignment="1">
      <x:alignment vertical="center" wrapText="1"/>
    </x:xf>
    <x:xf numFmtId="204" fontId="13" fillId="0" borderId="0" xfId="0" applyNumberFormat="1" applyFont="1" applyFill="1" applyBorder="1"/>
    <x:xf numFmtId="205" fontId="13" fillId="0" borderId="0" xfId="0" applyNumberFormat="1" applyFont="1" applyFill="1" applyBorder="1"/>
    <x:xf numFmtId="0" fontId="13" fillId="10" borderId="0" xfId="0" applyNumberFormat="1" applyFont="1" applyFill="1" applyBorder="1"/>
    <x:xf numFmtId="205" fontId="13" fillId="10" borderId="0" xfId="0" applyNumberFormat="1" applyFont="1" applyFill="1" applyBorder="1"/>
    <x:xf numFmtId="204" fontId="13" fillId="10" borderId="0" xfId="0" applyNumberFormat="1" applyFont="1" applyFill="1" applyBorder="1"/>
    <x:xf numFmtId="0" fontId="15" fillId="10" borderId="0" xfId="0" applyNumberFormat="1" applyFont="1" applyFill="1" applyBorder="1"/>
    <x:xf numFmtId="205" fontId="15" fillId="10" borderId="0" xfId="0" applyNumberFormat="1" applyFont="1" applyFill="1" applyBorder="1"/>
    <x:xf numFmtId="0" fontId="15" fillId="0" borderId="0" xfId="0" applyNumberFormat="1" applyFont="1" applyFill="1" applyBorder="1"/>
    <x:xf numFmtId="204" fontId="3" fillId="0" borderId="5" xfId="0" applyNumberFormat="1" applyFont="1" applyFill="1" applyBorder="1" applyAlignment="1">
      <x:alignment horizontal="center" vertical="center" wrapText="1"/>
    </x:xf>
    <x:xf numFmtId="204" fontId="0" fillId="0" borderId="0" xfId="0" applyNumberFormat="1" applyFont="1" applyFill="1" applyBorder="1"/>
    <x:xf numFmtId="206" fontId="0" fillId="0" borderId="0" xfId="0" applyNumberFormat="1" applyFont="1" applyFill="1" applyBorder="1"/>
    <x:xf numFmtId="206" fontId="13" fillId="0" borderId="0" xfId="0" applyNumberFormat="1" applyFont="1" applyFill="1" applyBorder="1"/>
    <x:xf numFmtId="0" fontId="13" fillId="10" borderId="0" xfId="0" applyNumberFormat="1" applyFont="1" applyFill="1" applyBorder="1" applyAlignment="1">
      <x:alignment wrapText="1"/>
    </x:xf>
    <x:xf numFmtId="0" fontId="15" fillId="10" borderId="0" xfId="0" applyNumberFormat="1" applyFont="1" applyFill="1" applyBorder="1" applyAlignment="1">
      <x:alignment wrapText="1"/>
    </x:xf>
    <x:xf numFmtId="206" fontId="15" fillId="10" borderId="0" xfId="0" applyNumberFormat="1" applyFont="1" applyFill="1" applyBorder="1" applyAlignment="1">
      <x:alignment wrapText="1"/>
    </x:xf>
    <x:xf numFmtId="207" fontId="15" fillId="10" borderId="0" xfId="0" applyNumberFormat="1" applyFont="1" applyFill="1" applyBorder="1" applyAlignment="1">
      <x:alignment wrapText="1"/>
    </x:xf>
    <x:xf numFmtId="205" fontId="13" fillId="0" borderId="0" xfId="0" applyNumberFormat="1" applyFont="1" applyFill="1" applyBorder="1" applyAlignment="1">
      <x:alignment wrapText="1"/>
    </x:xf>
    <x:xf numFmtId="0" fontId="13" fillId="8" borderId="0" xfId="0" applyNumberFormat="1" applyFont="1" applyFill="1" applyBorder="1" applyAlignment="1">
      <x:alignment wrapText="1"/>
    </x:xf>
    <x:xf numFmtId="0" fontId="16" fillId="8" borderId="0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4" fillId="0" borderId="10" xfId="0" applyNumberFormat="1" applyFont="1" applyFill="1" applyBorder="1" applyAlignment="1">
      <x:alignment vertical="top" wrapText="1"/>
    </x:xf>
    <x:xf numFmtId="0" fontId="4" fillId="0" borderId="11" xfId="0" applyNumberFormat="1" applyFont="1" applyFill="1" applyBorder="1" applyAlignment="1">
      <x:alignment vertical="top" wrapText="1"/>
    </x:xf>
    <x:xf numFmtId="0" fontId="4" fillId="0" borderId="12" xfId="0" applyNumberFormat="1" applyFont="1" applyFill="1" applyBorder="1" applyAlignment="1">
      <x:alignment vertical="top" wrapText="1"/>
    </x:xf>
    <x:xf numFmtId="0" fontId="4" fillId="0" borderId="13" xfId="0" applyNumberFormat="1" applyFont="1" applyFill="1" applyBorder="1" applyAlignment="1">
      <x:alignment vertical="top" wrapText="1"/>
    </x:xf>
    <x:xf numFmtId="0" fontId="4" fillId="0" borderId="14" xfId="0" applyNumberFormat="1" applyFont="1" applyFill="1" applyBorder="1" applyAlignment="1">
      <x:alignment vertical="top" wrapText="1"/>
    </x:xf>
    <x:xf numFmtId="204" fontId="0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164" fontId="4" fillId="0" borderId="6" xfId="0" applyNumberFormat="1" applyFont="1" applyFill="1" applyBorder="1" applyAlignment="1">
      <x:alignment vertical="top" wrapText="1"/>
    </x:xf>
    <x:xf numFmtId="164" fontId="4" fillId="0" borderId="7" xfId="0" applyNumberFormat="1" applyFont="1" applyFill="1" applyBorder="1" applyAlignment="1">
      <x:alignment vertical="top" wrapText="1"/>
    </x:xf>
    <x:xf numFmtId="164" fontId="4" fillId="0" borderId="8" xfId="0" applyNumberFormat="1" applyFont="1" applyFill="1" applyBorder="1" applyAlignment="1">
      <x:alignment vertical="top" wrapText="1"/>
    </x:xf>
    <x:xf numFmtId="164" fontId="4" fillId="0" borderId="9" xfId="0" applyNumberFormat="1" applyFont="1" applyFill="1" applyBorder="1" applyAlignment="1">
      <x:alignment vertical="top" wrapText="1"/>
    </x:xf>
    <x:xf numFmtId="164" fontId="4" fillId="0" borderId="10" xfId="0" applyNumberFormat="1" applyFont="1" applyFill="1" applyBorder="1" applyAlignment="1">
      <x:alignment vertical="top" wrapText="1"/>
    </x:xf>
    <x:xf numFmtId="164" fontId="4" fillId="0" borderId="11" xfId="0" applyNumberFormat="1" applyFont="1" applyFill="1" applyBorder="1" applyAlignment="1">
      <x:alignment vertical="top" wrapText="1"/>
    </x:xf>
    <x:xf numFmtId="206" fontId="0" fillId="0" borderId="0" xfId="0" applyNumberFormat="1" applyFont="1" applyFill="1" applyBorder="1" applyAlignment="1">
      <x:alignment wrapText="1"/>
    </x:xf>
    <x:xf numFmtId="206" fontId="4" fillId="0" borderId="6" xfId="0" applyNumberFormat="1" applyFont="1" applyFill="1" applyBorder="1" applyAlignment="1">
      <x:alignment vertical="top" wrapText="1"/>
    </x:xf>
    <x:xf numFmtId="206" fontId="4" fillId="0" borderId="7" xfId="0" applyNumberFormat="1" applyFont="1" applyFill="1" applyBorder="1" applyAlignment="1">
      <x:alignment vertical="top" wrapText="1"/>
    </x:xf>
    <x:xf numFmtId="206" fontId="4" fillId="0" borderId="8" xfId="0" applyNumberFormat="1" applyFont="1" applyFill="1" applyBorder="1" applyAlignment="1">
      <x:alignment vertical="top" wrapText="1"/>
    </x:xf>
    <x:xf numFmtId="206" fontId="4" fillId="0" borderId="9" xfId="0" applyNumberFormat="1" applyFont="1" applyFill="1" applyBorder="1" applyAlignment="1">
      <x:alignment vertical="top" wrapText="1"/>
    </x:xf>
    <x:xf numFmtId="206" fontId="4" fillId="0" borderId="10" xfId="0" applyNumberFormat="1" applyFont="1" applyFill="1" applyBorder="1" applyAlignment="1">
      <x:alignment vertical="top" wrapText="1"/>
    </x:xf>
    <x:xf numFmtId="206" fontId="4" fillId="0" borderId="11" xfId="0" applyNumberFormat="1" applyFont="1" applyFill="1" applyBorder="1" applyAlignment="1">
      <x:alignment vertical="top" wrapText="1"/>
    </x:xf>
    <x:xf numFmtId="206" fontId="4" fillId="0" borderId="12" xfId="0" applyNumberFormat="1" applyFont="1" applyFill="1" applyBorder="1" applyAlignment="1">
      <x:alignment vertical="top" wrapText="1"/>
    </x:xf>
    <x:xf numFmtId="206" fontId="4" fillId="0" borderId="13" xfId="0" applyNumberFormat="1" applyFont="1" applyFill="1" applyBorder="1" applyAlignment="1">
      <x:alignment vertical="top" wrapText="1"/>
    </x:xf>
    <x:xf numFmtId="206" fontId="4" fillId="0" borderId="14" xfId="0" applyNumberFormat="1" applyFont="1" applyFill="1" applyBorder="1" applyAlignment="1">
      <x:alignment vertical="top" wrapText="1"/>
    </x:xf>
    <x:xf numFmtId="204" fontId="13" fillId="0" borderId="0" xfId="0" applyNumberFormat="1" applyFont="1" applyFill="1" applyBorder="1" applyAlignment="1">
      <x:alignment wrapText="1"/>
    </x:xf>
    <x:xf numFmtId="206" fontId="13" fillId="0" borderId="0" xfId="0" applyNumberFormat="1" applyFont="1" applyFill="1" applyBorder="1" applyAlignment="1">
      <x:alignment wrapText="1"/>
    </x:xf>
    <x:xf numFmtId="208" fontId="13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3" fillId="0" borderId="2" xfId="0" applyNumberFormat="1" applyFont="1" applyFill="1" applyBorder="1" applyAlignment="1">
      <x:alignment wrapText="1"/>
    </x:xf>
    <x:xf numFmtId="0" fontId="3" fillId="0" borderId="3" xfId="0" applyNumberFormat="1" applyFont="1" applyFill="1" applyBorder="1" applyAlignment="1">
      <x:alignment wrapText="1"/>
    </x:xf>
    <x:xf numFmtId="0" fontId="3" fillId="0" borderId="4" xfId="0" applyNumberFormat="1" applyFont="1" applyFill="1" applyBorder="1" applyAlignment="1">
      <x:alignment wrapText="1"/>
    </x:xf>
    <x:xf numFmtId="0" fontId="3" fillId="0" borderId="5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13e0fa7ba430b" /><Relationship Type="http://schemas.openxmlformats.org/officeDocument/2006/relationships/theme" Target="/xl/theme/theme1.xml" Id="R45c2f34c3eb44c9b" /><Relationship Type="http://schemas.openxmlformats.org/officeDocument/2006/relationships/sharedStrings" Target="/xl/sharedStrings.xml" Id="R19f8c30e76db4760" /><Relationship Type="http://schemas.openxmlformats.org/officeDocument/2006/relationships/worksheet" Target="/xl/worksheets/sheet1.xml" Id="R8a159dcaf38e4926" /><Relationship Type="http://schemas.openxmlformats.org/officeDocument/2006/relationships/worksheet" Target="/xl/worksheets/sheet2.xml" Id="R5dc18c54b431425a" /><Relationship Type="http://schemas.openxmlformats.org/officeDocument/2006/relationships/worksheet" Target="/xl/worksheets/sheet3.xml" Id="R5698c5a6bf264930" /><Relationship Type="http://schemas.openxmlformats.org/officeDocument/2006/relationships/worksheet" Target="/xl/worksheets/sheet4.xml" Id="Rb6df41bfe4774784" /><Relationship Type="http://schemas.openxmlformats.org/officeDocument/2006/relationships/worksheet" Target="/xl/worksheets/sheet5.xml" Id="Rbec08d057ed44515" /><Relationship Type="http://schemas.openxmlformats.org/officeDocument/2006/relationships/worksheet" Target="/xl/worksheets/sheet6.xml" Id="R65df3e85d9d74fab" /><Relationship Type="http://schemas.openxmlformats.org/officeDocument/2006/relationships/worksheet" Target="/xl/worksheets/sheet7.xml" Id="R7cce2a4cf16a4593" /><Relationship Type="http://schemas.openxmlformats.org/officeDocument/2006/relationships/worksheet" Target="/xl/worksheets/sheet8.xml" Id="R208849e7291145e9" /><Relationship Type="http://schemas.openxmlformats.org/officeDocument/2006/relationships/worksheet" Target="/xl/worksheets/sheet9.xml" Id="R748b3ff26e924757" /><Relationship Type="http://schemas.openxmlformats.org/officeDocument/2006/relationships/worksheet" Target="/xl/worksheets/sheet10.xml" Id="R2d431082211e4ae2" /><Relationship Type="http://schemas.openxmlformats.org/officeDocument/2006/relationships/worksheet" Target="/xl/worksheets/sheet11.xml" Id="R00d9a9a3a4964619" /><Relationship Type="http://schemas.openxmlformats.org/officeDocument/2006/relationships/worksheet" Target="/xl/worksheets/sheet12.xml" Id="Racc457bdb26d4517" /><Relationship Type="http://schemas.openxmlformats.org/officeDocument/2006/relationships/worksheet" Target="/xl/worksheets/sheet13.xml" Id="R8433c363260d47a2" /><Relationship Type="http://schemas.openxmlformats.org/officeDocument/2006/relationships/worksheet" Target="/xl/worksheets/sheet14.xml" Id="R5664af7fb1724d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" style="4" customWidth="1"/>
    <x:col min="2" max="2" width="2" style="4" customWidth="1"/>
    <x:col min="3" max="3" width="64.33000183105469" style="4" customWidth="1"/>
    <x:col min="4" max="4" width="49.66999816894531" style="4" customWidth="1"/>
    <x:col min="5" max="5" width="35.439998626708984" style="4" customWidth="1"/>
    <x:col min="6" max="6" width="62.33000183105469" style="4" customWidth="1"/>
  </x:cols>
  <x:sheetData>
    <x:row r="1">
      <x:c r="C1" s="118"/>
      <x:c r="D1" s="118"/>
      <x:c r="E1" s="118"/>
      <x:c r="F1" s="118"/>
      <x:c r="G1" s="118"/>
      <x:c r="H1" s="118" t="inlineStr">
        <x:is>
          <x:t xml:space="preserve">Token2049 positioning note: model treats GlemO as an asset-class-neutral liquidity and distribution rail; real estate credit is the first proof market, not the final category.</x:t>
        </x:is>
      </x:c>
      <x:c r="I1" s="118"/>
      <x:c r="J1" s="118"/>
      <x:c r="K1" s="118"/>
    </x:row>
    <x:row r="2" s="4" customFormat="1" ht="19.200000762939453" customHeight="1">
      <x:c r="C2" s="202" t="inlineStr">
        <x:is>
          <x:t xml:space="preserve">GlemO Pre-Seed Operating Model</x:t>
        </x:is>
      </x:c>
      <x:c r="D2" s="202" t="n"/>
      <x:c r="E2" s="202" t="n"/>
      <x:c r="F2" s="202" t="n"/>
      <x:c r="G2" s="202" t="n"/>
      <x:c r="H2" s="202" t="n"/>
      <x:c r="I2" s="202" t="n"/>
      <x:c r="J2" s="202" t="n"/>
      <x:c r="K2" s="202" t="n"/>
    </x:row>
    <x:row r="3" s="4" customFormat="1" ht="15" customHeight="1">
      <x:c r="C3" s="203" t="inlineStr">
        <x:is>
          <x:t xml:space="preserve">US$2M de-risking plan for the neutral liquidity and distribution rail. Currency in USD unless noted.</x:t>
        </x:is>
      </x:c>
      <x:c r="D3" s="203" t="n"/>
      <x:c r="E3" s="203" t="n"/>
      <x:c r="F3" s="203" t="n"/>
      <x:c r="G3" s="203" t="n"/>
      <x:c r="H3" s="203" t="n"/>
      <x:c r="I3" s="203" t="n"/>
      <x:c r="J3" s="203" t="n"/>
      <x:c r="K3" s="203" t="n"/>
    </x:row>
    <x:row r="4">
      <x:c r="C4" s="118"/>
      <x:c r="D4" s="118"/>
      <x:c r="E4" s="118"/>
      <x:c r="F4" s="118"/>
      <x:c r="G4" s="118"/>
      <x:c r="H4" s="118"/>
      <x:c r="I4" s="118"/>
      <x:c r="J4" s="118"/>
      <x:c r="K4" s="118"/>
    </x:row>
    <x:row r="5">
      <x:c r="C5" s="118"/>
      <x:c r="D5" s="118"/>
      <x:c r="E5" s="118"/>
      <x:c r="F5" s="118"/>
      <x:c r="G5" s="118"/>
      <x:c r="H5" s="118"/>
      <x:c r="I5" s="118"/>
      <x:c r="J5" s="118"/>
      <x:c r="K5" s="118"/>
    </x:row>
    <x:row r="6" s="4" customFormat="1" ht="15" customHeight="1">
      <x:c r="C6" s="204" t="inlineStr">
        <x:is>
          <x:t xml:space="preserve">Decision view</x:t>
        </x:is>
      </x:c>
      <x:c r="D6" s="205" t="str"/>
      <x:c r="E6" s="205" t="str"/>
      <x:c r="F6" s="205" t="str"/>
      <x:c r="G6" s="205" t="str"/>
      <x:c r="H6" s="205" t="str"/>
      <x:c r="I6" s="205" t="str"/>
      <x:c r="J6" s="205" t="str"/>
      <x:c r="K6" s="206" t="str"/>
    </x:row>
    <x:row r="7" s="4" customFormat="1" ht="15" customHeight="1">
      <x:c r="C7" s="207" t="inlineStr">
        <x:is>
          <x:t xml:space="preserve">Metric</x:t>
        </x:is>
      </x:c>
      <x:c r="D7" s="207" t="inlineStr">
        <x:is>
          <x:t xml:space="preserve">Base case</x:t>
        </x:is>
      </x:c>
      <x:c r="E7" s="207" t="inlineStr">
        <x:is>
          <x:t xml:space="preserve">Full-tech case</x:t>
        </x:is>
      </x:c>
      <x:c r="F7" s="207" t="inlineStr">
        <x:is>
          <x:t xml:space="preserve">Investor read</x:t>
        </x:is>
      </x:c>
      <x:c r="G7" s="118"/>
      <x:c r="H7" s="118"/>
      <x:c r="I7" s="118"/>
      <x:c r="J7" s="118"/>
      <x:c r="K7" s="118"/>
    </x:row>
    <x:row r="8" s="4" customFormat="1" ht="15" customHeight="1">
      <x:c r="C8" s="172" t="inlineStr">
        <x:is>
          <x:t xml:space="preserve">Total raise</x:t>
        </x:is>
      </x:c>
      <x:c r="D8" s="184" t="n">
        <x:f>'Assumptions'!D8</x:f>
        <x:v>2000000</x:v>
      </x:c>
      <x:c r="E8" s="184" t="n">
        <x:f>'Assumptions'!E8</x:f>
        <x:v>2000000</x:v>
      </x:c>
      <x:c r="F8" s="174" t="inlineStr">
        <x:is>
          <x:t xml:space="preserve">Both cases reconcile to the US$2M round.</x:t>
        </x:is>
      </x:c>
      <x:c r="G8" s="118"/>
      <x:c r="H8" s="118"/>
      <x:c r="I8" s="118"/>
      <x:c r="J8" s="118"/>
      <x:c r="K8" s="118"/>
    </x:row>
    <x:row r="9" s="4" customFormat="1" ht="15" customHeight="1">
      <x:c r="C9" s="175" t="inlineStr">
        <x:is>
          <x:t xml:space="preserve">Technology envelope</x:t>
        </x:is>
      </x:c>
      <x:c r="D9" s="187" t="n">
        <x:f>'Assumptions'!D11</x:f>
        <x:v>650000</x:v>
      </x:c>
      <x:c r="E9" s="187" t="n">
        <x:f>'Assumptions'!E11</x:f>
        <x:v>750000</x:v>
      </x:c>
      <x:c r="F9" s="177" t="inlineStr">
        <x:is>
          <x:t xml:space="preserve">Use base case externally unless acceleration is clearly funded by staged token/liquidity spend.</x:t>
        </x:is>
      </x:c>
      <x:c r="G9" s="118"/>
      <x:c r="H9" s="118"/>
      <x:c r="I9" s="118"/>
      <x:c r="J9" s="118"/>
      <x:c r="K9" s="118"/>
    </x:row>
    <x:row r="10" s="4" customFormat="1" ht="15" customHeight="1">
      <x:c r="C10" s="175" t="inlineStr">
        <x:is>
          <x:t xml:space="preserve">Founder draw</x:t>
        </x:is>
      </x:c>
      <x:c r="D10" s="187" t="n">
        <x:f>'Assumptions'!D9*'Assumptions'!D19</x:f>
        <x:v>168000</x:v>
      </x:c>
      <x:c r="E10" s="187" t="n">
        <x:f>'Assumptions'!E9*'Assumptions'!E19</x:f>
        <x:v>168000</x:v>
      </x:c>
      <x:c r="F10" s="177" t="inlineStr">
        <x:is>
          <x:t xml:space="preserve">US$7k/month for 24 months.</x:t>
        </x:is>
      </x:c>
      <x:c r="G10" s="118"/>
      <x:c r="H10" s="118"/>
      <x:c r="I10" s="118"/>
      <x:c r="J10" s="118"/>
      <x:c r="K10" s="118"/>
    </x:row>
    <x:row r="11" s="4" customFormat="1" ht="15" customHeight="1">
      <x:c r="C11" s="175" t="inlineStr">
        <x:is>
          <x:t xml:space="preserve">Admin / project operations</x:t>
        </x:is>
      </x:c>
      <x:c r="D11" s="187" t="n">
        <x:f>'Assumptions'!D10*'Assumptions'!D19</x:f>
        <x:v>240000</x:v>
      </x:c>
      <x:c r="E11" s="187" t="n">
        <x:f>'Assumptions'!E10*'Assumptions'!E19</x:f>
        <x:v>240000</x:v>
      </x:c>
      <x:c r="F11" s="177" t="inlineStr">
        <x:is>
          <x:t xml:space="preserve">US$10k/month for 24 months.</x:t>
        </x:is>
      </x:c>
      <x:c r="G11" s="118"/>
      <x:c r="H11" s="118"/>
      <x:c r="I11" s="118"/>
      <x:c r="J11" s="118"/>
      <x:c r="K11" s="118"/>
    </x:row>
    <x:row r="12" s="4" customFormat="1" ht="15" customHeight="1">
      <x:c r="C12" s="175" t="inlineStr">
        <x:is>
          <x:t xml:space="preserve">Infrastructure / tools</x:t>
        </x:is>
      </x:c>
      <x:c r="D12" s="187" t="n">
        <x:f>'Assumptions'!D15</x:f>
        <x:v>120000</x:v>
      </x:c>
      <x:c r="E12" s="187" t="n">
        <x:f>'Assumptions'!E15</x:f>
        <x:v>120000</x:v>
      </x:c>
      <x:c r="F12" s="177" t="inlineStr">
        <x:is>
          <x:t xml:space="preserve">Explicit cap prevents hidden underbudgeting.</x:t>
        </x:is>
      </x:c>
      <x:c r="G12" s="118"/>
      <x:c r="H12" s="118"/>
      <x:c r="I12" s="118"/>
      <x:c r="J12" s="118"/>
      <x:c r="K12" s="118"/>
    </x:row>
    <x:row r="13" s="4" customFormat="1" ht="15" customHeight="1">
      <x:c r="C13" s="175" t="inlineStr">
        <x:is>
          <x:t xml:space="preserve">Reserve</x:t>
        </x:is>
      </x:c>
      <x:c r="D13" s="187" t="n">
        <x:f>'Assumptions'!D18</x:f>
        <x:v>147000</x:v>
      </x:c>
      <x:c r="E13" s="187" t="n">
        <x:f>'Assumptions'!E18</x:f>
        <x:v>122000</x:v>
      </x:c>
      <x:c r="F13" s="177" t="inlineStr">
        <x:is>
          <x:t xml:space="preserve">Base case has stronger contingency.</x:t>
        </x:is>
      </x:c>
      <x:c r="G13" s="118"/>
      <x:c r="H13" s="118"/>
      <x:c r="I13" s="118"/>
      <x:c r="J13" s="118"/>
      <x:c r="K13" s="118"/>
    </x:row>
    <x:row r="14" s="4" customFormat="1" ht="15" customHeight="1">
      <x:c r="C14" s="178" t="inlineStr">
        <x:is>
          <x:t xml:space="preserve">Recommended case</x:t>
        </x:is>
      </x:c>
      <x:c r="D14" s="179" t="inlineStr">
        <x:is>
          <x:t xml:space="preserve">Base case</x:t>
        </x:is>
      </x:c>
      <x:c r="E14" s="179" t="inlineStr">
        <x:is>
          <x:t xml:space="preserve">Internal alternative</x:t>
        </x:is>
      </x:c>
      <x:c r="F14" s="180" t="inlineStr">
        <x:is>
          <x:t xml:space="preserve">Base case is cleaner for VC diligence.</x:t>
        </x:is>
      </x:c>
      <x:c r="G14" s="118"/>
      <x:c r="H14" s="118"/>
      <x:c r="I14" s="118"/>
      <x:c r="J14" s="118"/>
      <x:c r="K14" s="118"/>
    </x:row>
    <x:row r="15">
      <x:c r="C15" s="118"/>
      <x:c r="D15" s="118"/>
      <x:c r="E15" s="118"/>
      <x:c r="F15" s="118"/>
      <x:c r="G15" s="118"/>
      <x:c r="H15" s="118"/>
      <x:c r="I15" s="118"/>
      <x:c r="J15" s="118"/>
      <x:c r="K15" s="118"/>
    </x:row>
    <x:row r="16">
      <x:c r="C16" s="118"/>
      <x:c r="D16" s="118"/>
      <x:c r="E16" s="118"/>
      <x:c r="F16" s="118"/>
      <x:c r="G16" s="118"/>
      <x:c r="H16" s="118"/>
      <x:c r="I16" s="118"/>
      <x:c r="J16" s="118"/>
      <x:c r="K16" s="118"/>
    </x:row>
    <x:row r="17" s="4" customFormat="1" ht="15" customHeight="1">
      <x:c r="C17" s="204" t="inlineStr">
        <x:is>
          <x:t xml:space="preserve">Investment guardrails</x:t>
        </x:is>
      </x:c>
      <x:c r="D17" s="205" t="str"/>
      <x:c r="E17" s="205" t="str"/>
      <x:c r="F17" s="205" t="str"/>
      <x:c r="G17" s="205" t="str"/>
      <x:c r="H17" s="205" t="str"/>
      <x:c r="I17" s="205" t="str"/>
      <x:c r="J17" s="205" t="str"/>
      <x:c r="K17" s="206" t="str"/>
    </x:row>
    <x:row r="18" s="4" customFormat="1" ht="15" customHeight="1">
      <x:c r="C18" s="207" t="inlineStr">
        <x:is>
          <x:t xml:space="preserve">Guardrail</x:t>
        </x:is>
      </x:c>
      <x:c r="D18" s="207" t="inlineStr">
        <x:is>
          <x:t xml:space="preserve">Policy</x:t>
        </x:is>
      </x:c>
      <x:c r="E18" s="207" t="inlineStr">
        <x:is>
          <x:t xml:space="preserve">Why it matters</x:t>
        </x:is>
      </x:c>
      <x:c r="F18" s="207" t="inlineStr">
        <x:is>
          <x:t xml:space="preserve">Status</x:t>
        </x:is>
      </x:c>
      <x:c r="G18" s="118"/>
      <x:c r="H18" s="118"/>
      <x:c r="I18" s="118"/>
      <x:c r="J18" s="118"/>
      <x:c r="K18" s="118"/>
    </x:row>
    <x:row r="19" s="4" customFormat="1" ht="32" customHeight="1">
      <x:c r="C19" s="172" t="inlineStr">
        <x:is>
          <x:t xml:space="preserve">Core thesis</x:t>
        </x:is>
      </x:c>
      <x:c r="D19" s="173" t="inlineStr">
        <x:is>
          <x:t xml:space="preserve">Neutral liquidity and distribution rail with public marketplace front.</x:t>
        </x:is>
      </x:c>
      <x:c r="E19" s="173" t="inlineStr">
        <x:is>
          <x:t xml:space="preserve">Avoids bank-dependency and passive-listing framing.</x:t>
        </x:is>
      </x:c>
      <x:c r="F19" s="174" t="inlineStr">
        <x:is>
          <x:t xml:space="preserve">Investor-facing</x:t>
        </x:is>
      </x:c>
      <x:c r="G19" s="118"/>
      <x:c r="H19" s="118"/>
      <x:c r="I19" s="118"/>
      <x:c r="J19" s="118"/>
      <x:c r="K19" s="118"/>
    </x:row>
    <x:row r="20" s="4" customFormat="1" ht="32" customHeight="1">
      <x:c r="C20" s="175" t="inlineStr">
        <x:is>
          <x:t xml:space="preserve">Marketplace</x:t>
        </x:is>
      </x:c>
      <x:c r="D20" s="176" t="inlineStr">
        <x:is>
          <x:t xml:space="preserve">Discovery and workflow front, not the core business alone.</x:t>
        </x:is>
      </x:c>
      <x:c r="E20" s="176" t="inlineStr">
        <x:is>
          <x:t xml:space="preserve">Prevents marketplace traffic assumptions.</x:t>
        </x:is>
      </x:c>
      <x:c r="F20" s="177" t="inlineStr">
        <x:is>
          <x:t xml:space="preserve">Investor-facing</x:t>
        </x:is>
      </x:c>
      <x:c r="G20" s="118"/>
      <x:c r="H20" s="118"/>
      <x:c r="I20" s="118"/>
      <x:c r="J20" s="118"/>
      <x:c r="K20" s="118"/>
    </x:row>
    <x:row r="21" s="4" customFormat="1" ht="32" customHeight="1">
      <x:c r="C21" s="175" t="inlineStr">
        <x:is>
          <x:t xml:space="preserve">Buyer activation</x:t>
        </x:is>
      </x:c>
      <x:c r="D21" s="176" t="inlineStr">
        <x:is>
          <x:t xml:space="preserve">Active outreach, routing and response measurement.</x:t>
        </x:is>
      </x:c>
      <x:c r="E21" s="176" t="inlineStr">
        <x:is>
          <x:t xml:space="preserve">Turns distribution into an operating process.</x:t>
        </x:is>
      </x:c>
      <x:c r="F21" s="177" t="inlineStr">
        <x:is>
          <x:t xml:space="preserve">Needs source evidence</x:t>
        </x:is>
      </x:c>
      <x:c r="G21" s="118"/>
      <x:c r="H21" s="118"/>
      <x:c r="I21" s="118"/>
      <x:c r="J21" s="118"/>
      <x:c r="K21" s="118"/>
    </x:row>
    <x:row r="22" s="4" customFormat="1" ht="32" customHeight="1">
      <x:c r="C22" s="175" t="inlineStr">
        <x:is>
          <x:t xml:space="preserve">Liquidity</x:t>
        </x:is>
      </x:c>
      <x:c r="D22" s="176" t="inlineStr">
        <x:is>
          <x:t xml:space="preserve">Readiness and reporting only. No guaranteed market depth.</x:t>
        </x:is>
      </x:c>
      <x:c r="E22" s="176" t="inlineStr">
        <x:is>
          <x:t xml:space="preserve">Reduces regulatory and credibility risk.</x:t>
        </x:is>
      </x:c>
      <x:c r="F22" s="177" t="inlineStr">
        <x:is>
          <x:t xml:space="preserve">Investor-facing</x:t>
        </x:is>
      </x:c>
      <x:c r="G22" s="118"/>
      <x:c r="H22" s="118"/>
      <x:c r="I22" s="118"/>
      <x:c r="J22" s="118"/>
      <x:c r="K22" s="118"/>
    </x:row>
    <x:row r="23" s="4" customFormat="1" ht="32" customHeight="1">
      <x:c r="C23" s="175" t="inlineStr">
        <x:is>
          <x:t xml:space="preserve">Token</x:t>
        </x:is>
      </x:c>
      <x:c r="D23" s="176" t="inlineStr">
        <x:is>
          <x:t xml:space="preserve">Incentives for dApps, AI agents, developer tooling and verified contribution.</x:t>
        </x:is>
      </x:c>
      <x:c r="E23" s="176" t="inlineStr">
        <x:is>
          <x:t xml:space="preserve">Keeps token subordinate.</x:t>
        </x:is>
      </x:c>
      <x:c r="F23" s="177" t="inlineStr">
        <x:is>
          <x:t xml:space="preserve">Investor-facing</x:t>
        </x:is>
      </x:c>
      <x:c r="G23" s="118"/>
      <x:c r="H23" s="118"/>
      <x:c r="I23" s="118"/>
      <x:c r="J23" s="118"/>
      <x:c r="K23" s="118"/>
    </x:row>
    <x:row r="24" s="4" customFormat="1" ht="32" customHeight="1">
      <x:c r="C24" s="178" t="inlineStr">
        <x:is>
          <x:t xml:space="preserve">Token changes</x:t>
        </x:is>
      </x:c>
      <x:c r="D24" s="179" t="inlineStr">
        <x:is>
          <x:t xml:space="preserve">Require unanimous approval under definitive documents.</x:t>
        </x:is>
      </x:c>
      <x:c r="E24" s="179" t="inlineStr">
        <x:is>
          <x:t xml:space="preserve">Protects VCs and partners from objective drift.</x:t>
        </x:is>
      </x:c>
      <x:c r="F24" s="180" t="inlineStr">
        <x:is>
          <x:t xml:space="preserve">Needs legal drafting</x:t>
        </x:is>
      </x:c>
      <x:c r="G24" s="118"/>
      <x:c r="H24" s="118"/>
      <x:c r="I24" s="118"/>
      <x:c r="J24" s="118"/>
      <x:c r="K24" s="118"/>
    </x:row>
    <x:row r="25">
      <x:c r="C25" s="118"/>
      <x:c r="D25" s="118"/>
      <x:c r="E25" s="118"/>
      <x:c r="F25" s="118"/>
      <x:c r="G25" s="118"/>
      <x:c r="H25" s="118"/>
      <x:c r="I25" s="118"/>
      <x:c r="J25" s="118"/>
      <x:c r="K25" s="118"/>
    </x:row>
    <x:row r="26">
      <x:c r="C26" s="119" t="str">
        <x:f>"Commercial planning case: "&amp;CHOOSE('Scenario Inputs'!C8,"Base","Downside","Module upside")</x:f>
        <x:v>Commercial planning case: Base</x:v>
      </x:c>
      <x:c r="D26" s="119"/>
      <x:c r="E26" s="119"/>
      <x:c r="F26" s="119"/>
      <x:c r="G26" s="118"/>
      <x:c r="H26" s="118"/>
      <x:c r="I26" s="118"/>
      <x:c r="J26" s="118"/>
      <x:c r="K26" s="118"/>
    </x:row>
    <x:row r="27">
      <x:c r="C27" s="89" t="str">
        <x:v>Metric</x:v>
      </x:c>
      <x:c r="D27" s="90" t="str">
        <x:v>Year 1</x:v>
      </x:c>
      <x:c r="E27" s="90" t="str">
        <x:v>Year 2</x:v>
      </x:c>
      <x:c r="F27" s="91" t="str">
        <x:v>Year 3</x:v>
      </x:c>
      <x:c r="G27" s="118"/>
      <x:c r="H27" s="118"/>
      <x:c r="I27" s="118"/>
      <x:c r="J27" s="118"/>
      <x:c r="K27" s="118"/>
    </x:row>
    <x:row r="28">
      <x:c r="C28" s="118" t="str">
        <x:v>Revenue</x:v>
      </x:c>
      <x:c r="D28" s="124" t="n">
        <x:f>'Revenue Model'!D31</x:f>
        <x:v>81300</x:v>
      </x:c>
      <x:c r="E28" s="124" t="n">
        <x:f>'Revenue Model'!E31</x:f>
        <x:v>333200</x:v>
      </x:c>
      <x:c r="F28" s="124" t="n">
        <x:f>'Revenue Model'!F31</x:f>
        <x:v>833630</x:v>
      </x:c>
      <x:c r="G28" s="118"/>
      <x:c r="H28" s="118"/>
      <x:c r="I28" s="118"/>
      <x:c r="J28" s="118"/>
      <x:c r="K28" s="118"/>
    </x:row>
    <x:row r="29">
      <x:c r="C29" s="118" t="str">
        <x:v>Contribution before fixed deployment</x:v>
      </x:c>
      <x:c r="D29" s="124" t="n">
        <x:f>'Revenue Model'!D33</x:f>
        <x:v>44715</x:v>
      </x:c>
      <x:c r="E29" s="124" t="n">
        <x:f>'Revenue Model'!E33</x:f>
        <x:v>199920</x:v>
      </x:c>
      <x:c r="F29" s="124" t="n">
        <x:f>'Revenue Model'!F33</x:f>
        <x:v>541859.5</x:v>
      </x:c>
      <x:c r="G29" s="118"/>
      <x:c r="H29" s="118"/>
      <x:c r="I29" s="118"/>
      <x:c r="J29" s="118"/>
      <x:c r="K29" s="118"/>
    </x:row>
    <x:row r="30">
      <x:c r="C30" s="125" t="str">
        <x:v>Pre-tax cash after collections</x:v>
      </x:c>
      <x:c r="D30" s="126" t="n">
        <x:f>'Financial Projection'!D16</x:f>
        <x:v>1313271.0000000005</x:v>
      </x:c>
      <x:c r="E30" s="126" t="n">
        <x:f>'Financial Projection'!E16</x:f>
        <x:v>733535.0000000006</x:v>
      </x:c>
      <x:c r="F30" s="126" t="n">
        <x:f>'Financial Projection'!F16</x:f>
        <x:v>6394.500000000582</x:v>
      </x:c>
      <x:c r="G30" s="118"/>
      <x:c r="H30" s="118"/>
      <x:c r="I30" s="118"/>
      <x:c r="J30" s="118"/>
      <x:c r="K30" s="118"/>
    </x:row>
    <x:row r="31">
      <x:c r="C31" s="118" t="str">
        <x:v>Institutions at year end</x:v>
      </x:c>
      <x:c r="D31" s="143" t="n">
        <x:f>'Revenue Model'!D8</x:f>
        <x:v>2</x:v>
      </x:c>
      <x:c r="E31" s="143" t="n">
        <x:f>'Revenue Model'!E8</x:f>
        <x:v>4</x:v>
      </x:c>
      <x:c r="F31" s="143" t="n">
        <x:f>'Revenue Model'!F8</x:f>
        <x:v>8</x:v>
      </x:c>
      <x:c r="G31" s="118"/>
      <x:c r="H31" s="118"/>
      <x:c r="I31" s="118"/>
      <x:c r="J31" s="118"/>
      <x:c r="K31" s="118"/>
    </x:row>
    <x:row r="32">
      <x:c r="C32" s="118" t="str">
        <x:v>Completed routed volume</x:v>
      </x:c>
      <x:c r="D32" s="124" t="n">
        <x:f>'Revenue Model'!D27</x:f>
        <x:v>3000000</x:v>
      </x:c>
      <x:c r="E32" s="124" t="n">
        <x:f>'Revenue Model'!E27</x:f>
        <x:v>15000000</x:v>
      </x:c>
      <x:c r="F32" s="124" t="n">
        <x:f>'Revenue Model'!F27</x:f>
        <x:v>60000000</x:v>
      </x:c>
      <x:c r="G32" s="118"/>
      <x:c r="H32" s="118"/>
      <x:c r="I32" s="118"/>
      <x:c r="J32" s="118"/>
      <x:c r="K32" s="118"/>
    </x:row>
    <x:row r="33">
      <x:c r="C33" s="118" t="str">
        <x:v>Minimum investor ticket</x:v>
      </x:c>
      <x:c r="D33" s="124" t="n">
        <x:f>'Assumptions'!D20</x:f>
        <x:v>250000</x:v>
      </x:c>
      <x:c r="E33" s="124" t="n">
        <x:f>'Assumptions'!D20</x:f>
        <x:v>250000</x:v>
      </x:c>
      <x:c r="F33" s="124" t="n">
        <x:f>'Assumptions'!D20</x:f>
        <x:v>250000</x:v>
      </x:c>
      <x:c r="G33" s="118"/>
      <x:c r="H33" s="118"/>
      <x:c r="I33" s="118"/>
      <x:c r="J33" s="118"/>
      <x:c r="K33" s="118"/>
    </x:row>
    <x:row r="34">
      <x:c r="C34" s="118"/>
      <x:c r="D34" s="118"/>
      <x:c r="E34" s="118"/>
      <x:c r="F34" s="118"/>
      <x:c r="G34" s="118"/>
      <x:c r="H34" s="118"/>
      <x:c r="I34" s="118"/>
      <x:c r="J34" s="118"/>
      <x:c r="K34" s="118"/>
    </x:row>
    <x:row r="35">
      <x:c r="C35" s="105" t="str">
        <x:v>Planning case, not booked revenue. Monthly ramp and collection lag apply. Modules are excluded from base. Tax/other obligations remain unconfirmed; use cash before those items only.</x:v>
      </x:c>
      <x:c r="D35" s="105"/>
      <x:c r="E35" s="105"/>
      <x:c r="F35" s="105"/>
      <x:c r="G35" s="118"/>
      <x:c r="H35" s="118"/>
      <x:c r="I35" s="118"/>
      <x:c r="J35" s="118"/>
      <x:c r="K35" s="118"/>
    </x:row>
    <x:row r="36">
      <x:c r="C36" s="105"/>
      <x:c r="D36" s="105"/>
      <x:c r="E36" s="105"/>
      <x:c r="F36" s="105"/>
      <x:c r="G36" s="118"/>
      <x:c r="H36" s="118"/>
      <x:c r="I36" s="118"/>
      <x:c r="J36" s="118"/>
      <x:c r="K36" s="118"/>
    </x:row>
  </x:sheetData>
  <x:mergeCells>
    <x:mergeCell ref="C26:F26"/>
    <x:mergeCell ref="C35:F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" style="4" customWidth="1"/>
    <x:col min="2" max="2" width="2" style="4" customWidth="1"/>
    <x:col min="3" max="3" width="50.779998779296875" style="4" customWidth="1"/>
    <x:col min="4" max="4" width="9.5600004196167" style="4" customWidth="1"/>
    <x:col min="5" max="5" width="10.329999923706055" style="4" customWidth="1"/>
    <x:col min="6" max="6" width="8.109999656677246" style="4" customWidth="1"/>
    <x:col min="7" max="7" width="42" style="4" customWidth="1"/>
  </x:cols>
  <x:sheetData>
    <x:row r="1"/>
    <x:row r="2" s="4" customFormat="1" ht="19.200000762939453" customHeight="1">
      <x:c r="C2" s="2" t="inlineStr">
        <x:is>
          <x:t xml:space="preserve">Assumptions</x:t>
        </x:is>
      </x:c>
      <x:c r="D2" s="2" t="n"/>
      <x:c r="E2" s="2" t="n"/>
      <x:c r="F2" s="2" t="n"/>
      <x:c r="G2" s="2" t="n"/>
      <x:c r="H2" s="2" t="n"/>
      <x:c r="I2" s="2" t="n"/>
      <x:c r="J2" s="2" t="n"/>
      <x:c r="K2" s="2" t="n"/>
    </x:row>
    <x:row r="3" s="4" customFormat="1" ht="15" customHeight="1">
      <x:c r="C3" s="3" t="inlineStr">
        <x:is>
          <x:t xml:space="preserve">Editable assumptions and scenario inputs. Blue text / yellow fill marks inputs.</x:t>
        </x:is>
      </x:c>
      <x:c r="D3" s="3" t="n"/>
      <x:c r="E3" s="3" t="n"/>
      <x:c r="F3" s="3" t="n"/>
      <x:c r="G3" s="3" t="n"/>
      <x:c r="H3" s="3" t="n"/>
      <x:c r="I3" s="3" t="n"/>
      <x:c r="J3" s="3" t="n"/>
      <x:c r="K3" s="3" t="n"/>
    </x:row>
    <x:row r="4"/>
    <x:row r="5"/>
    <x:row r="6" s="4" customFormat="1" ht="15" customHeight="1">
      <x:c r="C6" s="6" t="inlineStr">
        <x:is>
          <x:t xml:space="preserve">Round inputs</x:t>
        </x:is>
      </x:c>
      <x:c r="D6" s="7" t="str"/>
      <x:c r="E6" s="7" t="str"/>
      <x:c r="F6" s="7" t="str"/>
      <x:c r="G6" s="8" t="str"/>
    </x:row>
    <x:row r="7" s="4" customFormat="1" ht="15" customHeight="1">
      <x:c r="C7" s="13" t="inlineStr">
        <x:is>
          <x:t xml:space="preserve">Input</x:t>
        </x:is>
      </x:c>
      <x:c r="D7" s="13" t="inlineStr">
        <x:is>
          <x:t xml:space="preserve">Base case</x:t>
        </x:is>
      </x:c>
      <x:c r="E7" s="13" t="inlineStr">
        <x:is>
          <x:t xml:space="preserve">Full-tech case</x:t>
        </x:is>
      </x:c>
      <x:c r="F7" s="13" t="inlineStr">
        <x:is>
          <x:t xml:space="preserve">Units</x:t>
        </x:is>
      </x:c>
      <x:c r="G7" s="13" t="inlineStr">
        <x:is>
          <x:t xml:space="preserve">Notes</x:t>
        </x:is>
      </x:c>
    </x:row>
    <x:row r="8" s="4" customFormat="1" ht="15" customHeight="1">
      <x:c r="C8" s="17" t="inlineStr">
        <x:is>
          <x:t xml:space="preserve">Total raise</x:t>
        </x:is>
      </x:c>
      <x:c r="D8" s="51" t="n">
        <x:v>2000000</x:v>
      </x:c>
      <x:c r="E8" s="51" t="n">
        <x:v>2000000</x:v>
      </x:c>
      <x:c r="F8" s="18" t="inlineStr">
        <x:is>
          <x:t xml:space="preserve">USD</x:t>
        </x:is>
      </x:c>
      <x:c r="G8" s="19" t="inlineStr">
        <x:is>
          <x:t xml:space="preserve">Pre-seed round size.</x:t>
        </x:is>
      </x:c>
    </x:row>
    <x:row r="9" s="4" customFormat="1" ht="15" customHeight="1">
      <x:c r="C9" s="20" t="inlineStr">
        <x:is>
          <x:t xml:space="preserve">Founder monthly draw</x:t>
        </x:is>
      </x:c>
      <x:c r="D9" s="52" t="n">
        <x:v>7000</x:v>
      </x:c>
      <x:c r="E9" s="52" t="n">
        <x:v>7000</x:v>
      </x:c>
      <x:c r="F9" s="21" t="inlineStr">
        <x:is>
          <x:t xml:space="preserve">USD/month</x:t>
        </x:is>
      </x:c>
      <x:c r="G9" s="22" t="inlineStr">
        <x:is>
          <x:t xml:space="preserve">24 months.</x:t>
        </x:is>
      </x:c>
    </x:row>
    <x:row r="10" s="4" customFormat="1" ht="15" customHeight="1">
      <x:c r="C10" s="20" t="inlineStr">
        <x:is>
          <x:t xml:space="preserve">Admin monthly</x:t>
        </x:is>
      </x:c>
      <x:c r="D10" s="52" t="n">
        <x:v>10000</x:v>
      </x:c>
      <x:c r="E10" s="52" t="n">
        <x:v>10000</x:v>
      </x:c>
      <x:c r="F10" s="21" t="inlineStr">
        <x:is>
          <x:t xml:space="preserve">USD/month</x:t>
        </x:is>
      </x:c>
      <x:c r="G10" s="22" t="inlineStr">
        <x:is>
          <x:t xml:space="preserve">Project administration and operating backbone.</x:t>
        </x:is>
      </x:c>
    </x:row>
    <x:row r="11" s="4" customFormat="1" ht="15" customHeight="1">
      <x:c r="C11" s="20" t="inlineStr">
        <x:is>
          <x:t xml:space="preserve">Technology</x:t>
        </x:is>
      </x:c>
      <x:c r="D11" s="52" t="n">
        <x:v>650000</x:v>
      </x:c>
      <x:c r="E11" s="52" t="n">
        <x:v>750000</x:v>
      </x:c>
      <x:c r="F11" s="21" t="inlineStr">
        <x:is>
          <x:t xml:space="preserve">USD</x:t>
        </x:is>
      </x:c>
      <x:c r="G11" s="22" t="inlineStr">
        <x:is>
          <x:t xml:space="preserve">Base case versus full-tech ceiling.</x:t>
        </x:is>
      </x:c>
    </x:row>
    <x:row r="12" s="4" customFormat="1" ht="15" customHeight="1">
      <x:c r="C12" s="20" t="inlineStr">
        <x:is>
          <x:t xml:space="preserve">Legal / compliance</x:t>
        </x:is>
      </x:c>
      <x:c r="D12" s="52" t="n">
        <x:v>150000</x:v>
      </x:c>
      <x:c r="E12" s="52" t="n">
        <x:v>150000</x:v>
      </x:c>
      <x:c r="F12" s="21" t="inlineStr">
        <x:is>
          <x:t xml:space="preserve">USD</x:t>
        </x:is>
      </x:c>
      <x:c r="G12" s="22" t="str">
        <x:v>BVI/Cayman legal work and UAE customer permissions.</x:v>
      </x:c>
    </x:row>
    <x:row r="13" s="4" customFormat="1" ht="15" customHeight="1">
      <x:c r="C13" s="20" t="inlineStr">
        <x:is>
          <x:t xml:space="preserve">Token engineering / governance</x:t>
        </x:is>
      </x:c>
      <x:c r="D13" s="52" t="n">
        <x:v>125000</x:v>
      </x:c>
      <x:c r="E13" s="52" t="n">
        <x:v>100000</x:v>
      </x:c>
      <x:c r="F13" s="21" t="inlineStr">
        <x:is>
          <x:t xml:space="preserve">USD</x:t>
        </x:is>
      </x:c>
      <x:c r="G13" s="22" t="inlineStr">
        <x:is>
          <x:t xml:space="preserve">Staged, subordinate to platform.</x:t>
        </x:is>
      </x:c>
    </x:row>
    <x:row r="14" s="4" customFormat="1" ht="15" customHeight="1">
      <x:c r="C14" s="20" t="inlineStr">
        <x:is>
          <x:t xml:space="preserve">Market liquidity / MM readiness</x:t>
        </x:is>
      </x:c>
      <x:c r="D14" s="52" t="n">
        <x:v>250000</x:v>
      </x:c>
      <x:c r="E14" s="52" t="n">
        <x:v>200000</x:v>
      </x:c>
      <x:c r="F14" s="21" t="inlineStr">
        <x:is>
          <x:t xml:space="preserve">USD</x:t>
        </x:is>
      </x:c>
      <x:c r="G14" s="22" t="str">
        <x:v>Conditional cash expenditure allowance. No assumed recoverable deposit or principal investment.</x:v>
      </x:c>
    </x:row>
    <x:row r="15" s="4" customFormat="1" ht="15" customHeight="1">
      <x:c r="C15" s="20" t="inlineStr">
        <x:is>
          <x:t xml:space="preserve">Infrastructure / tools</x:t>
        </x:is>
      </x:c>
      <x:c r="D15" s="52" t="n">
        <x:v>120000</x:v>
      </x:c>
      <x:c r="E15" s="52" t="n">
        <x:v>120000</x:v>
      </x:c>
      <x:c r="F15" s="21" t="inlineStr">
        <x:is>
          <x:t xml:space="preserve">USD</x:t>
        </x:is>
      </x:c>
      <x:c r="G15" s="22" t="inlineStr">
        <x:is>
          <x:t xml:space="preserve">Cloud, data, KYC/KYB, RPC, CRM, security and observability.</x:t>
        </x:is>
      </x:c>
    </x:row>
    <x:row r="16" s="4" customFormat="1" ht="15" customHeight="1">
      <x:c r="C16" s="20" t="inlineStr">
        <x:is>
          <x:t xml:space="preserve">Market-development hub</x:t>
        </x:is>
      </x:c>
      <x:c r="D16" s="52" t="n">
        <x:v>100000</x:v>
      </x:c>
      <x:c r="E16" s="52" t="n">
        <x:v>100000</x:v>
      </x:c>
      <x:c r="F16" s="21" t="inlineStr">
        <x:is>
          <x:t xml:space="preserve">USD</x:t>
        </x:is>
      </x:c>
      <x:c r="G16" s="22" t="inlineStr">
        <x:is>
          <x:t xml:space="preserve">Participant development, not vague partnerships.</x:t>
        </x:is>
      </x:c>
    </x:row>
    <x:row r="17" s="4" customFormat="1" ht="15" customHeight="1">
      <x:c r="C17" s="20" t="inlineStr">
        <x:is>
          <x:t xml:space="preserve">Strategic events</x:t>
        </x:is>
      </x:c>
      <x:c r="D17" s="52" t="n">
        <x:v>50000</x:v>
      </x:c>
      <x:c r="E17" s="52" t="n">
        <x:v>50000</x:v>
      </x:c>
      <x:c r="F17" s="21" t="inlineStr">
        <x:is>
          <x:t xml:space="preserve">USD</x:t>
        </x:is>
      </x:c>
      <x:c r="G17" s="22" t="inlineStr">
        <x:is>
          <x:t xml:space="preserve">Curated investor/RWA/real-estate access.</x:t>
        </x:is>
      </x:c>
    </x:row>
    <x:row r="18" s="4" customFormat="1" ht="15" customHeight="1">
      <x:c r="C18" s="20" t="inlineStr">
        <x:is>
          <x:t xml:space="preserve">Reserve</x:t>
        </x:is>
      </x:c>
      <x:c r="D18" s="52" t="n">
        <x:f>'Use of Funds'!D17</x:f>
        <x:v>147000</x:v>
      </x:c>
      <x:c r="E18" s="52" t="n">
        <x:f>'Use of Funds'!F17</x:f>
        <x:v>122000</x:v>
      </x:c>
      <x:c r="F18" s="21" t="inlineStr">
        <x:is>
          <x:t xml:space="preserve">USD</x:t>
        </x:is>
      </x:c>
      <x:c r="G18" s="22" t="inlineStr">
        <x:is>
          <x:t xml:space="preserve">Contingency after allocation.</x:t>
        </x:is>
      </x:c>
    </x:row>
    <x:row r="19" s="4" customFormat="1" ht="15" customHeight="1">
      <x:c r="C19" s="23" t="inlineStr">
        <x:is>
          <x:t xml:space="preserve">Model period</x:t>
        </x:is>
      </x:c>
      <x:c r="D19" s="53" t="n">
        <x:v>24</x:v>
      </x:c>
      <x:c r="E19" s="53" t="n">
        <x:v>24</x:v>
      </x:c>
      <x:c r="F19" s="24" t="inlineStr">
        <x:is>
          <x:t xml:space="preserve">months</x:t>
        </x:is>
      </x:c>
      <x:c r="G19" s="25" t="str">
        <x:v>Fixed 24-month budget horizon. Do not change without extending the build.</x:v>
      </x:c>
    </x:row>
    <x:row r="20">
      <x:c r="C20" s="71" t="str">
        <x:v>Minimum investor ticket</x:v>
      </x:c>
      <x:c r="D20" s="70" t="n">
        <x:v>250000</x:v>
      </x:c>
      <x:c r="E20" s="70" t="n">
        <x:v>250000</x:v>
      </x:c>
      <x:c r="F20" t="str">
        <x:v>USD</x:v>
      </x:c>
      <x:c r="G20" t="str">
        <x:v>Minimum amount accepted from a single investor.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" style="4" customWidth="1"/>
    <x:col min="2" max="2" width="2" style="4" customWidth="1"/>
    <x:col min="3" max="3" width="43.33000183105469" style="4" customWidth="1"/>
    <x:col min="4" max="4" width="9.5600004196167" style="4" customWidth="1"/>
    <x:col min="5" max="5" width="6.329999923706055" style="4" customWidth="1"/>
    <x:col min="6" max="6" width="10.329999923706055" style="4" customWidth="1"/>
    <x:col min="7" max="7" width="6.329999923706055" style="4" customWidth="1"/>
    <x:col min="8" max="8" width="53.11000061035156" style="4" customWidth="1"/>
  </x:cols>
  <x:sheetData>
    <x:row r="1"/>
    <x:row r="2" s="4" customFormat="1" ht="19.200000762939453" customHeight="1">
      <x:c r="C2" s="2" t="inlineStr">
        <x:is>
          <x:t xml:space="preserve">Use of Funds</x:t>
        </x:is>
      </x:c>
      <x:c r="D2" s="2" t="n"/>
      <x:c r="E2" s="2" t="n"/>
      <x:c r="F2" s="2" t="n"/>
      <x:c r="G2" s="2" t="n"/>
      <x:c r="H2" s="2" t="n"/>
      <x:c r="I2" s="2" t="n"/>
      <x:c r="J2" s="2" t="n"/>
      <x:c r="K2" s="2" t="n"/>
    </x:row>
    <x:row r="3" s="4" customFormat="1" ht="15" customHeight="1">
      <x:c r="C3" s="3" t="inlineStr">
        <x:is>
          <x:t xml:space="preserve">Investor-facing allocation. Amounts reconcile to the US$2M raise.</x:t>
        </x:is>
      </x:c>
      <x:c r="D3" s="3" t="n"/>
      <x:c r="E3" s="3" t="n"/>
      <x:c r="F3" s="3" t="n"/>
      <x:c r="G3" s="3" t="n"/>
      <x:c r="H3" s="3" t="n"/>
      <x:c r="I3" s="3" t="n"/>
      <x:c r="J3" s="3" t="n"/>
      <x:c r="K3" s="3" t="n"/>
    </x:row>
    <x:row r="4"/>
    <x:row r="5"/>
    <x:row r="6"/>
    <x:row r="7" s="4" customFormat="1" ht="15" customHeight="1">
      <x:c r="C7" s="13" t="inlineStr">
        <x:is>
          <x:t xml:space="preserve">Category</x:t>
        </x:is>
      </x:c>
      <x:c r="D7" s="13" t="inlineStr">
        <x:is>
          <x:t xml:space="preserve">Base case</x:t>
        </x:is>
      </x:c>
      <x:c r="E7" s="13" t="inlineStr">
        <x:is>
          <x:t xml:space="preserve">% raise</x:t>
        </x:is>
      </x:c>
      <x:c r="F7" s="13" t="inlineStr">
        <x:is>
          <x:t xml:space="preserve">Full-tech case</x:t>
        </x:is>
      </x:c>
      <x:c r="G7" s="13" t="inlineStr">
        <x:is>
          <x:t xml:space="preserve">% raise</x:t>
        </x:is>
      </x:c>
      <x:c r="H7" s="13" t="inlineStr">
        <x:is>
          <x:t xml:space="preserve">Investor read</x:t>
        </x:is>
      </x:c>
    </x:row>
    <x:row r="8" s="4" customFormat="1" ht="15" customHeight="1">
      <x:c r="C8" s="17" t="inlineStr">
        <x:is>
          <x:t xml:space="preserve">Technology / platform</x:t>
        </x:is>
      </x:c>
      <x:c r="D8" s="49" t="n">
        <x:f>'Assumptions'!D11</x:f>
        <x:v>650000</x:v>
      </x:c>
      <x:c r="E8" s="54" t="n">
        <x:f>D8/D$18</x:f>
        <x:v>0.325</x:v>
      </x:c>
      <x:c r="F8" s="49" t="n">
        <x:f>'Assumptions'!E11</x:f>
        <x:v>750000</x:v>
      </x:c>
      <x:c r="G8" s="54" t="n">
        <x:f>F8/F$18</x:f>
        <x:v>0.375</x:v>
      </x:c>
      <x:c r="H8" s="19" t="inlineStr">
        <x:is>
          <x:t xml:space="preserve">Build rail, marketplace front, onboarding, reporting, provider routing and security.</x:t>
        </x:is>
      </x:c>
    </x:row>
    <x:row r="9" s="4" customFormat="1" ht="15" customHeight="1">
      <x:c r="C9" s="20" t="inlineStr">
        <x:is>
          <x:t xml:space="preserve">Founder draw</x:t>
        </x:is>
      </x:c>
      <x:c r="D9" s="50" t="n">
        <x:f>'Assumptions'!D9*'Assumptions'!D19</x:f>
        <x:v>168000</x:v>
      </x:c>
      <x:c r="E9" s="55" t="n">
        <x:f>D9/D$18</x:f>
        <x:v>0.084</x:v>
      </x:c>
      <x:c r="F9" s="50" t="n">
        <x:f>'Assumptions'!E9*'Assumptions'!E19</x:f>
        <x:v>168000</x:v>
      </x:c>
      <x:c r="G9" s="55" t="n">
        <x:f>F9/F$18</x:f>
        <x:v>0.084</x:v>
      </x:c>
      <x:c r="H9" s="22" t="inlineStr">
        <x:is>
          <x:t xml:space="preserve">US$7k/month for 24 months.</x:t>
        </x:is>
      </x:c>
    </x:row>
    <x:row r="10" s="4" customFormat="1" ht="15" customHeight="1">
      <x:c r="C10" s="20" t="inlineStr">
        <x:is>
          <x:t xml:space="preserve">Admin / project operations</x:t>
        </x:is>
      </x:c>
      <x:c r="D10" s="50" t="n">
        <x:f>'Assumptions'!D10*'Assumptions'!D19</x:f>
        <x:v>240000</x:v>
      </x:c>
      <x:c r="E10" s="55" t="n">
        <x:f>D10/D$18</x:f>
        <x:v>0.12</x:v>
      </x:c>
      <x:c r="F10" s="50" t="n">
        <x:f>'Assumptions'!E10*'Assumptions'!E19</x:f>
        <x:v>240000</x:v>
      </x:c>
      <x:c r="G10" s="55" t="n">
        <x:f>F10/F$18</x:f>
        <x:v>0.12</x:v>
      </x:c>
      <x:c r="H10" s="22" t="inlineStr">
        <x:is>
          <x:t xml:space="preserve">US$10k/month for 24 months.</x:t>
        </x:is>
      </x:c>
    </x:row>
    <x:row r="11" s="4" customFormat="1" ht="15" customHeight="1">
      <x:c r="C11" s="20" t="inlineStr">
        <x:is>
          <x:t xml:space="preserve">Legal / compliance</x:t>
        </x:is>
      </x:c>
      <x:c r="D11" s="50" t="n">
        <x:f>'Assumptions'!D12</x:f>
        <x:v>150000</x:v>
      </x:c>
      <x:c r="E11" s="55" t="n">
        <x:f>D11/D$18</x:f>
        <x:v>0.075</x:v>
      </x:c>
      <x:c r="F11" s="50" t="n">
        <x:f>'Assumptions'!E12</x:f>
        <x:v>150000</x:v>
      </x:c>
      <x:c r="G11" s="55" t="n">
        <x:f>F11/F$18</x:f>
        <x:v>0.075</x:v>
      </x:c>
      <x:c r="H11" s="22" t="inlineStr">
        <x:is>
          <x:t xml:space="preserve">Counsel and documentation. Do not cut first.</x:t>
        </x:is>
      </x:c>
    </x:row>
    <x:row r="12" s="4" customFormat="1" ht="15" customHeight="1">
      <x:c r="C12" s="20" t="inlineStr">
        <x:is>
          <x:t xml:space="preserve">Token engineering / governance</x:t>
        </x:is>
      </x:c>
      <x:c r="D12" s="50" t="n">
        <x:f>'Assumptions'!D13</x:f>
        <x:v>125000</x:v>
      </x:c>
      <x:c r="E12" s="55" t="n">
        <x:f>D12/D$18</x:f>
        <x:v>0.0625</x:v>
      </x:c>
      <x:c r="F12" s="50" t="n">
        <x:f>'Assumptions'!E13</x:f>
        <x:v>100000</x:v>
      </x:c>
      <x:c r="G12" s="55" t="n">
        <x:f>F12/F$18</x:f>
        <x:v>0.05</x:v>
      </x:c>
      <x:c r="H12" s="22" t="inlineStr">
        <x:is>
          <x:t xml:space="preserve">Keep lean and subordinate to platform.</x:t>
        </x:is>
      </x:c>
    </x:row>
    <x:row r="13" s="4" customFormat="1" ht="15" customHeight="1">
      <x:c r="C13" s="20" t="inlineStr">
        <x:is>
          <x:t xml:space="preserve">Market liquidity / MM readiness</x:t>
        </x:is>
      </x:c>
      <x:c r="D13" s="50" t="n">
        <x:f>'Assumptions'!D14</x:f>
        <x:v>250000</x:v>
      </x:c>
      <x:c r="E13" s="55" t="n">
        <x:f>D13/D$18</x:f>
        <x:v>0.125</x:v>
      </x:c>
      <x:c r="F13" s="50" t="n">
        <x:f>'Assumptions'!E14</x:f>
        <x:v>200000</x:v>
      </x:c>
      <x:c r="G13" s="55" t="n">
        <x:f>F13/F$18</x:f>
        <x:v>0.1</x:v>
      </x:c>
      <x:c r="H13" s="22" t="inlineStr">
        <x:is>
          <x:t xml:space="preserve">Milestone-gated readiness only.</x:t>
        </x:is>
      </x:c>
    </x:row>
    <x:row r="14" s="4" customFormat="1" ht="15" customHeight="1">
      <x:c r="C14" s="20" t="inlineStr">
        <x:is>
          <x:t xml:space="preserve">Infrastructure / tools</x:t>
        </x:is>
      </x:c>
      <x:c r="D14" s="50" t="n">
        <x:f>'Assumptions'!D15</x:f>
        <x:v>120000</x:v>
      </x:c>
      <x:c r="E14" s="55" t="n">
        <x:f>D14/D$18</x:f>
        <x:v>0.06</x:v>
      </x:c>
      <x:c r="F14" s="50" t="n">
        <x:f>'Assumptions'!E15</x:f>
        <x:v>120000</x:v>
      </x:c>
      <x:c r="G14" s="55" t="n">
        <x:f>F14/F$18</x:f>
        <x:v>0.06</x:v>
      </x:c>
      <x:c r="H14" s="22" t="inlineStr">
        <x:is>
          <x:t xml:space="preserve">Explicit cloud, data, security, KYC/KYB, CRM and Web3 tooling.</x:t>
        </x:is>
      </x:c>
    </x:row>
    <x:row r="15" s="4" customFormat="1" ht="15" customHeight="1">
      <x:c r="C15" s="20" t="inlineStr">
        <x:is>
          <x:t xml:space="preserve">Market-development hub</x:t>
        </x:is>
      </x:c>
      <x:c r="D15" s="50" t="n">
        <x:f>'Assumptions'!D16</x:f>
        <x:v>100000</x:v>
      </x:c>
      <x:c r="E15" s="55" t="n">
        <x:f>D15/D$18</x:f>
        <x:v>0.05</x:v>
      </x:c>
      <x:c r="F15" s="50" t="n">
        <x:f>'Assumptions'!E16</x:f>
        <x:v>100000</x:v>
      </x:c>
      <x:c r="G15" s="55" t="n">
        <x:f>F15/F$18</x:f>
        <x:v>0.05</x:v>
      </x:c>
      <x:c r="H15" s="22" t="inlineStr">
        <x:is>
          <x:t xml:space="preserve">Qualified participant pipeline across supply, providers and buyers.</x:t>
        </x:is>
      </x:c>
    </x:row>
    <x:row r="16" s="4" customFormat="1" ht="15" customHeight="1">
      <x:c r="C16" s="20" t="inlineStr">
        <x:is>
          <x:t xml:space="preserve">Strategic events</x:t>
        </x:is>
      </x:c>
      <x:c r="D16" s="50" t="n">
        <x:f>'Assumptions'!D17</x:f>
        <x:v>50000</x:v>
      </x:c>
      <x:c r="E16" s="55" t="n">
        <x:f>D16/D$18</x:f>
        <x:v>0.025</x:v>
      </x:c>
      <x:c r="F16" s="50" t="n">
        <x:f>'Assumptions'!E17</x:f>
        <x:v>50000</x:v>
      </x:c>
      <x:c r="G16" s="55" t="n">
        <x:f>F16/F$18</x:f>
        <x:v>0.025</x:v>
      </x:c>
      <x:c r="H16" s="22" t="inlineStr">
        <x:is>
          <x:t xml:space="preserve">Token2049 and curated RWA / institutional ecosystem events.</x:t>
        </x:is>
      </x:c>
    </x:row>
    <x:row r="17" s="4" customFormat="1" ht="15" customHeight="1">
      <x:c r="C17" s="20" t="inlineStr">
        <x:is>
          <x:t xml:space="preserve">Reserve</x:t>
        </x:is>
      </x:c>
      <x:c r="D17" s="50" t="n">
        <x:f>'Assumptions'!D8-SUM(D8:D16)</x:f>
        <x:v>147000</x:v>
      </x:c>
      <x:c r="E17" s="55" t="n">
        <x:f>D17/D$18</x:f>
        <x:v>0.0735</x:v>
      </x:c>
      <x:c r="F17" s="50" t="n">
        <x:f>'Assumptions'!E8-SUM(F8:F16)</x:f>
        <x:v>122000</x:v>
      </x:c>
      <x:c r="G17" s="55" t="n">
        <x:f>F17/F$18</x:f>
        <x:v>0.061</x:v>
      </x:c>
      <x:c r="H17" s="22" t="inlineStr">
        <x:is>
          <x:t xml:space="preserve">Contingency and runway buffer.</x:t>
        </x:is>
      </x:c>
    </x:row>
    <x:row r="18" s="4" customFormat="1" ht="15" customHeight="1">
      <x:c r="C18" s="41" t="inlineStr">
        <x:is>
          <x:t xml:space="preserve">Total</x:t>
        </x:is>
      </x:c>
      <x:c r="D18" s="56" t="n">
        <x:f>SUM(D8:D17)</x:f>
        <x:v>2000000</x:v>
      </x:c>
      <x:c r="E18" s="57" t="n">
        <x:f>D18/2000000</x:f>
        <x:v>1</x:v>
      </x:c>
      <x:c r="F18" s="56" t="n">
        <x:f>SUM(F8:F17)</x:f>
        <x:v>2000000</x:v>
      </x:c>
      <x:c r="G18" s="57" t="n">
        <x:f>F18/2000000</x:f>
        <x:v>1</x:v>
      </x:c>
      <x:c r="H18" s="44" t="inlineStr">
        <x:is>
          <x:t xml:space="preserve">Must equal round size.</x:t>
        </x:is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2" style="4" customWidth="1"/>
    <x:col min="2" max="2" width="40" style="4" hidden="0" customWidth="1"/>
    <x:col min="3" max="3" width="15" style="4" hidden="0" customWidth="1"/>
    <x:col min="4" max="4" width="15" style="4" hidden="0" customWidth="1"/>
    <x:col min="5" max="5" width="15" style="4" hidden="0" customWidth="1"/>
    <x:col min="6" max="6" width="15" style="4" hidden="0" customWidth="1"/>
    <x:col min="7" max="7" width="15" style="4" hidden="0" customWidth="1"/>
    <x:col min="8" max="8" width="15" style="4" hidden="0" customWidth="1"/>
    <x:col min="9" max="9" width="15" style="4" hidden="0" customWidth="1"/>
    <x:col min="10" max="10" width="15" style="4" hidden="0" customWidth="1"/>
    <x:col min="11" max="11" width="15" style="4" hidden="0" customWidth="1"/>
    <x:col min="12" max="12" width="15" style="4" hidden="0" customWidth="1"/>
    <x:col min="13" max="13" width="15" style="4" hidden="0" customWidth="1"/>
    <x:col min="14" max="14" width="15" style="4" hidden="0" customWidth="1"/>
    <x:col min="15" max="15" width="15" style="4" hidden="0" customWidth="1"/>
    <x:col min="16" max="16" width="15" style="4" hidden="0" customWidth="1"/>
    <x:col min="17" max="17" width="15" style="4" hidden="0" customWidth="1"/>
    <x:col min="18" max="18" width="15" style="4" hidden="0" customWidth="1"/>
    <x:col min="19" max="19" width="15" style="4" hidden="0" customWidth="1"/>
    <x:col min="20" max="20" width="15" style="4" hidden="0" customWidth="1"/>
    <x:col min="21" max="21" width="15" style="4" hidden="0" customWidth="1"/>
    <x:col min="22" max="22" width="15" style="4" hidden="0" customWidth="1"/>
    <x:col min="23" max="23" width="15" style="4" hidden="0" customWidth="1"/>
    <x:col min="24" max="24" width="15" style="4" hidden="0" customWidth="1"/>
    <x:col min="25" max="25" width="15" style="4" hidden="0" customWidth="1"/>
    <x:col min="26" max="26" width="15" style="4" hidden="0" customWidth="1"/>
    <x:col min="27" max="27" width="15" hidden="0" customWidth="1"/>
    <x:col min="28" max="28" width="15" hidden="0" customWidth="1"/>
    <x:col min="29" max="29" width="15" hidden="0" customWidth="1"/>
    <x:col min="30" max="30" width="15" hidden="0" customWidth="1"/>
    <x:col min="31" max="31" width="15" hidden="0" customWidth="1"/>
    <x:col min="32" max="32" width="15" hidden="0" customWidth="1"/>
    <x:col min="33" max="33" width="15" hidden="0" customWidth="1"/>
    <x:col min="34" max="34" width="15" hidden="0" customWidth="1"/>
    <x:col min="35" max="35" width="15" hidden="0" customWidth="1"/>
    <x:col min="36" max="36" width="15" hidden="0" customWidth="1"/>
    <x:col min="37" max="37" width="15" hidden="0" customWidth="1"/>
    <x:col min="38" max="38" width="15" hidden="0" customWidth="1"/>
  </x:cols>
  <x:sheetData>
    <x:row r="1"/>
    <x:row r="2" s="4" customFormat="1" ht="19.200000762939453" customHeight="1">
      <x:c r="C2" s="2" t="inlineStr">
        <x:is>
          <x:t xml:space="preserve">Monthly Burn</x:t>
        </x:is>
      </x:c>
      <x:c r="D2" s="2" t="n"/>
      <x:c r="E2" s="2" t="n"/>
      <x:c r="F2" s="2" t="n"/>
      <x:c r="G2" s="2" t="n"/>
      <x:c r="H2" s="2" t="n"/>
      <x:c r="I2" s="2" t="n"/>
      <x:c r="J2" s="2" t="n"/>
      <x:c r="K2" s="2" t="n"/>
    </x:row>
    <x:row r="3" s="4" customFormat="1" ht="15" customHeight="1">
      <x:c r="C3" s="66" t="str">
        <x:v>Selected funding envelope and commercial stress. Gate month 0 holds token/MM allocations in cash. Revenue and receipts are in Monthly Revenue; cash below includes collections and incremental delivery costs.</x:v>
      </x:c>
      <x:c r="D3" s="66" t="n"/>
      <x:c r="E3" s="66" t="n"/>
      <x:c r="F3" s="66" t="n"/>
      <x:c r="G3" s="66" t="n"/>
      <x:c r="H3" s="66" t="n"/>
      <x:c r="I3" s="66" t="n"/>
      <x:c r="J3" s="66" t="n"/>
      <x:c r="K3" s="66" t="n"/>
      <x:c r="L3" s="67"/>
      <x:c r="M3" s="67"/>
      <x:c r="N3" s="67"/>
      <x:c r="O3" s="67"/>
      <x:c r="P3" s="67"/>
      <x:c r="Q3" s="67"/>
      <x:c r="R3" s="67"/>
      <x:c r="S3" s="67"/>
      <x:c r="T3" s="67"/>
      <x:c r="U3" s="67"/>
      <x:c r="V3" s="67"/>
      <x:c r="W3" s="67"/>
      <x:c r="X3" s="67"/>
      <x:c r="Y3" s="67"/>
      <x:c r="Z3" s="67"/>
    </x:row>
    <x:row r="4"/>
    <x:row r="5"/>
    <x:row r="6"/>
    <x:row r="7" s="4" customFormat="1" ht="15" customHeight="1">
      <x:c r="B7" s="118"/>
      <x:c r="C7" s="161" t="n">
        <x:f>EDATE('Scenario Inputs'!$C$28,0)</x:f>
        <x:v>46266</x:v>
      </x:c>
      <x:c r="D7" s="161" t="n">
        <x:f>EDATE('Scenario Inputs'!$C$28,1)</x:f>
        <x:v>46296</x:v>
      </x:c>
      <x:c r="E7" s="161" t="n">
        <x:f>EDATE('Scenario Inputs'!$C$28,2)</x:f>
        <x:v>46327</x:v>
      </x:c>
      <x:c r="F7" s="161" t="n">
        <x:f>EDATE('Scenario Inputs'!$C$28,3)</x:f>
        <x:v>46357</x:v>
      </x:c>
      <x:c r="G7" s="161" t="n">
        <x:f>EDATE('Scenario Inputs'!$C$28,4)</x:f>
        <x:v>46388</x:v>
      </x:c>
      <x:c r="H7" s="161" t="n">
        <x:f>EDATE('Scenario Inputs'!$C$28,5)</x:f>
        <x:v>46419</x:v>
      </x:c>
      <x:c r="I7" s="161" t="n">
        <x:f>EDATE('Scenario Inputs'!$C$28,6)</x:f>
        <x:v>46447</x:v>
      </x:c>
      <x:c r="J7" s="161" t="n">
        <x:f>EDATE('Scenario Inputs'!$C$28,7)</x:f>
        <x:v>46478</x:v>
      </x:c>
      <x:c r="K7" s="161" t="n">
        <x:f>EDATE('Scenario Inputs'!$C$28,8)</x:f>
        <x:v>46508</x:v>
      </x:c>
      <x:c r="L7" s="161" t="n">
        <x:f>EDATE('Scenario Inputs'!$C$28,9)</x:f>
        <x:v>46539</x:v>
      </x:c>
      <x:c r="M7" s="161" t="n">
        <x:f>EDATE('Scenario Inputs'!$C$28,10)</x:f>
        <x:v>46569</x:v>
      </x:c>
      <x:c r="N7" s="161" t="n">
        <x:f>EDATE('Scenario Inputs'!$C$28,11)</x:f>
        <x:v>46600</x:v>
      </x:c>
      <x:c r="O7" s="161" t="n">
        <x:f>EDATE('Scenario Inputs'!$C$28,12)</x:f>
        <x:v>46631</x:v>
      </x:c>
      <x:c r="P7" s="161" t="n">
        <x:f>EDATE('Scenario Inputs'!$C$28,13)</x:f>
        <x:v>46661</x:v>
      </x:c>
      <x:c r="Q7" s="161" t="n">
        <x:f>EDATE('Scenario Inputs'!$C$28,14)</x:f>
        <x:v>46692</x:v>
      </x:c>
      <x:c r="R7" s="161" t="n">
        <x:f>EDATE('Scenario Inputs'!$C$28,15)</x:f>
        <x:v>46722</x:v>
      </x:c>
      <x:c r="S7" s="161" t="n">
        <x:f>EDATE('Scenario Inputs'!$C$28,16)</x:f>
        <x:v>46753</x:v>
      </x:c>
      <x:c r="T7" s="161" t="n">
        <x:f>EDATE('Scenario Inputs'!$C$28,17)</x:f>
        <x:v>46784</x:v>
      </x:c>
      <x:c r="U7" s="161" t="n">
        <x:f>EDATE('Scenario Inputs'!$C$28,18)</x:f>
        <x:v>46813</x:v>
      </x:c>
      <x:c r="V7" s="161" t="n">
        <x:f>EDATE('Scenario Inputs'!$C$28,19)</x:f>
        <x:v>46844</x:v>
      </x:c>
      <x:c r="W7" s="161" t="n">
        <x:f>EDATE('Scenario Inputs'!$C$28,20)</x:f>
        <x:v>46874</x:v>
      </x:c>
      <x:c r="X7" s="161" t="n">
        <x:f>EDATE('Scenario Inputs'!$C$28,21)</x:f>
        <x:v>46905</x:v>
      </x:c>
      <x:c r="Y7" s="161" t="n">
        <x:f>EDATE('Scenario Inputs'!$C$28,22)</x:f>
        <x:v>46935</x:v>
      </x:c>
      <x:c r="Z7" s="161" t="n">
        <x:f>EDATE('Scenario Inputs'!$C$28,23)</x:f>
        <x:v>46966</x:v>
      </x:c>
      <x:c r="AA7" s="181" t="n">
        <x:f>EDATE('Scenario Inputs'!$C$28,24)</x:f>
        <x:v>46997</x:v>
      </x:c>
      <x:c r="AB7" s="181" t="n">
        <x:f>EDATE('Scenario Inputs'!$C$28,25)</x:f>
        <x:v>47027</x:v>
      </x:c>
      <x:c r="AC7" s="181" t="n">
        <x:f>EDATE('Scenario Inputs'!$C$28,26)</x:f>
        <x:v>47058</x:v>
      </x:c>
      <x:c r="AD7" s="181" t="n">
        <x:f>EDATE('Scenario Inputs'!$C$28,27)</x:f>
        <x:v>47088</x:v>
      </x:c>
      <x:c r="AE7" s="181" t="n">
        <x:f>EDATE('Scenario Inputs'!$C$28,28)</x:f>
        <x:v>47119</x:v>
      </x:c>
      <x:c r="AF7" s="181" t="n">
        <x:f>EDATE('Scenario Inputs'!$C$28,29)</x:f>
        <x:v>47150</x:v>
      </x:c>
      <x:c r="AG7" s="181" t="n">
        <x:f>EDATE('Scenario Inputs'!$C$28,30)</x:f>
        <x:v>47178</x:v>
      </x:c>
      <x:c r="AH7" s="181" t="n">
        <x:f>EDATE('Scenario Inputs'!$C$28,31)</x:f>
        <x:v>47209</x:v>
      </x:c>
      <x:c r="AI7" s="181" t="n">
        <x:f>EDATE('Scenario Inputs'!$C$28,32)</x:f>
        <x:v>47239</x:v>
      </x:c>
      <x:c r="AJ7" s="181" t="n">
        <x:f>EDATE('Scenario Inputs'!$C$28,33)</x:f>
        <x:v>47270</x:v>
      </x:c>
      <x:c r="AK7" s="181" t="n">
        <x:f>EDATE('Scenario Inputs'!$C$28,34)</x:f>
        <x:v>47300</x:v>
      </x:c>
      <x:c r="AL7" s="181" t="n">
        <x:f>EDATE('Scenario Inputs'!$C$28,35)</x:f>
        <x:v>47331</x:v>
      </x:c>
    </x:row>
    <x:row r="8" s="4" customFormat="1" ht="32" customHeight="1">
      <x:c r="B8" s="182" t="inlineStr">
        <x:is>
          <x:t xml:space="preserve">Technology</x:t>
        </x:is>
      </x:c>
      <x:c r="C8" s="190" t="n">
        <x:f>CHOOSE('Scenario Inputs'!$C$19,'Use of Funds'!$D$8,'Use of Funds'!$F$8)*0.02628153846153846</x:f>
        <x:v>17083</x:v>
      </x:c>
      <x:c r="D8" s="191" t="n">
        <x:f>CHOOSE('Scenario Inputs'!$C$19,'Use of Funds'!$D$8,'Use of Funds'!$F$8)*0.032435384615384616</x:f>
        <x:v>21083</x:v>
      </x:c>
      <x:c r="E8" s="191" t="n">
        <x:f>CHOOSE('Scenario Inputs'!$C$19,'Use of Funds'!$D$8,'Use of Funds'!$F$8)*0.032435384615384616</x:f>
        <x:v>21083</x:v>
      </x:c>
      <x:c r="F8" s="191" t="n">
        <x:f>CHOOSE('Scenario Inputs'!$C$19,'Use of Funds'!$D$8,'Use of Funds'!$F$8)*0.04012769230769231</x:f>
        <x:v>26083</x:v>
      </x:c>
      <x:c r="G8" s="191" t="n">
        <x:f>CHOOSE('Scenario Inputs'!$C$19,'Use of Funds'!$D$8,'Use of Funds'!$F$8)*0.04012769230769231</x:f>
        <x:v>26083</x:v>
      </x:c>
      <x:c r="H8" s="191" t="n">
        <x:f>CHOOSE('Scenario Inputs'!$C$19,'Use of Funds'!$D$8,'Use of Funds'!$F$8)*0.04012769230769231</x:f>
        <x:v>26083</x:v>
      </x:c>
      <x:c r="I8" s="191" t="n">
        <x:f>CHOOSE('Scenario Inputs'!$C$19,'Use of Funds'!$D$8,'Use of Funds'!$F$8)*0.03910153846153846</x:f>
        <x:v>25415.999999999996</x:v>
      </x:c>
      <x:c r="J8" s="191" t="n">
        <x:f>CHOOSE('Scenario Inputs'!$C$19,'Use of Funds'!$D$8,'Use of Funds'!$F$8)*0.03910153846153846</x:f>
        <x:v>25415.999999999996</x:v>
      </x:c>
      <x:c r="K8" s="191" t="n">
        <x:f>CHOOSE('Scenario Inputs'!$C$19,'Use of Funds'!$D$8,'Use of Funds'!$F$8)*0.03910153846153846</x:f>
        <x:v>25415.999999999996</x:v>
      </x:c>
      <x:c r="L8" s="191" t="n">
        <x:f>CHOOSE('Scenario Inputs'!$C$19,'Use of Funds'!$D$8,'Use of Funds'!$F$8)*0.03910153846153846</x:f>
        <x:v>25415.999999999996</x:v>
      </x:c>
      <x:c r="M8" s="191" t="n">
        <x:f>CHOOSE('Scenario Inputs'!$C$19,'Use of Funds'!$D$8,'Use of Funds'!$F$8)*0.03910153846153846</x:f>
        <x:v>25415.999999999996</x:v>
      </x:c>
      <x:c r="N8" s="191" t="n">
        <x:f>CHOOSE('Scenario Inputs'!$C$19,'Use of Funds'!$D$8,'Use of Funds'!$F$8)*0.03910153846153846</x:f>
        <x:v>25415.999999999996</x:v>
      </x:c>
      <x:c r="O8" s="191" t="n">
        <x:f>CHOOSE('Scenario Inputs'!$C$19,'Use of Funds'!$D$8,'Use of Funds'!$F$8)*0.04423076923076923</x:f>
        <x:v>28750</x:v>
      </x:c>
      <x:c r="P8" s="191" t="n">
        <x:f>CHOOSE('Scenario Inputs'!$C$19,'Use of Funds'!$D$8,'Use of Funds'!$F$8)*0.04423076923076923</x:f>
        <x:v>28750</x:v>
      </x:c>
      <x:c r="Q8" s="191" t="n">
        <x:f>CHOOSE('Scenario Inputs'!$C$19,'Use of Funds'!$D$8,'Use of Funds'!$F$8)*0.04423076923076923</x:f>
        <x:v>28750</x:v>
      </x:c>
      <x:c r="R8" s="191" t="n">
        <x:f>CHOOSE('Scenario Inputs'!$C$19,'Use of Funds'!$D$8,'Use of Funds'!$F$8)*0.04423076923076923</x:f>
        <x:v>28750</x:v>
      </x:c>
      <x:c r="S8" s="191" t="n">
        <x:f>CHOOSE('Scenario Inputs'!$C$19,'Use of Funds'!$D$8,'Use of Funds'!$F$8)*0.04423076923076923</x:f>
        <x:v>28750</x:v>
      </x:c>
      <x:c r="T8" s="191" t="n">
        <x:f>CHOOSE('Scenario Inputs'!$C$19,'Use of Funds'!$D$8,'Use of Funds'!$F$8)*0.04423076923076923</x:f>
        <x:v>28750</x:v>
      </x:c>
      <x:c r="U8" s="191" t="n">
        <x:f>CHOOSE('Scenario Inputs'!$C$19,'Use of Funds'!$D$8,'Use of Funds'!$F$8)*0.04807692307692308</x:f>
        <x:v>31250</x:v>
      </x:c>
      <x:c r="V8" s="191" t="n">
        <x:f>CHOOSE('Scenario Inputs'!$C$19,'Use of Funds'!$D$8,'Use of Funds'!$F$8)*0.04807692307692308</x:f>
        <x:v>31250</x:v>
      </x:c>
      <x:c r="W8" s="191" t="n">
        <x:f>CHOOSE('Scenario Inputs'!$C$19,'Use of Funds'!$D$8,'Use of Funds'!$F$8)*0.04807692307692308</x:f>
        <x:v>31250</x:v>
      </x:c>
      <x:c r="X8" s="191" t="n">
        <x:f>CHOOSE('Scenario Inputs'!$C$19,'Use of Funds'!$D$8,'Use of Funds'!$F$8)*0.04807692307692308</x:f>
        <x:v>31250</x:v>
      </x:c>
      <x:c r="Y8" s="191" t="n">
        <x:f>CHOOSE('Scenario Inputs'!$C$19,'Use of Funds'!$D$8,'Use of Funds'!$F$8)*0.04807692307692308</x:f>
        <x:v>31250</x:v>
      </x:c>
      <x:c r="Z8" s="192" t="n">
        <x:f>CHOOSE('Scenario Inputs'!$C$19,'Use of Funds'!$D$8,'Use of Funds'!$F$8)*0.04808615384615385</x:f>
        <x:v>31256</x:v>
      </x:c>
      <x:c r="AA8" s="189" t="n">
        <x:f>'Scenario Inputs'!$C$20/12</x:f>
        <x:v>100000</x:v>
      </x:c>
      <x:c r="AB8" s="189" t="n">
        <x:f>'Scenario Inputs'!$C$20/12</x:f>
        <x:v>100000</x:v>
      </x:c>
      <x:c r="AC8" s="189" t="n">
        <x:f>'Scenario Inputs'!$C$20/12</x:f>
        <x:v>100000</x:v>
      </x:c>
      <x:c r="AD8" s="189" t="n">
        <x:f>'Scenario Inputs'!$C$20/12</x:f>
        <x:v>100000</x:v>
      </x:c>
      <x:c r="AE8" s="189" t="n">
        <x:f>'Scenario Inputs'!$C$20/12</x:f>
        <x:v>100000</x:v>
      </x:c>
      <x:c r="AF8" s="189" t="n">
        <x:f>'Scenario Inputs'!$C$20/12</x:f>
        <x:v>100000</x:v>
      </x:c>
      <x:c r="AG8" s="189" t="n">
        <x:f>'Scenario Inputs'!$C$20/12</x:f>
        <x:v>100000</x:v>
      </x:c>
      <x:c r="AH8" s="189" t="n">
        <x:f>'Scenario Inputs'!$C$20/12</x:f>
        <x:v>100000</x:v>
      </x:c>
      <x:c r="AI8" s="189" t="n">
        <x:f>'Scenario Inputs'!$C$20/12</x:f>
        <x:v>100000</x:v>
      </x:c>
      <x:c r="AJ8" s="189" t="n">
        <x:f>'Scenario Inputs'!$C$20/12</x:f>
        <x:v>100000</x:v>
      </x:c>
      <x:c r="AK8" s="189" t="n">
        <x:f>'Scenario Inputs'!$C$20/12</x:f>
        <x:v>100000</x:v>
      </x:c>
      <x:c r="AL8" s="189" t="n">
        <x:f>'Scenario Inputs'!$C$20/12</x:f>
        <x:v>100000</x:v>
      </x:c>
    </x:row>
    <x:row r="9" s="4" customFormat="1" ht="32" customHeight="1">
      <x:c r="B9" s="182" t="inlineStr">
        <x:is>
          <x:t xml:space="preserve">Founder draw</x:t>
        </x:is>
      </x:c>
      <x:c r="C9" s="193" t="n">
        <x:f>CHOOSE('Scenario Inputs'!$C$19,'Use of Funds'!$D$9,'Use of Funds'!$F$9)*0.041666666666666664</x:f>
        <x:v>7000</x:v>
      </x:c>
      <x:c r="D9" s="194" t="n">
        <x:f>CHOOSE('Scenario Inputs'!$C$19,'Use of Funds'!$D$9,'Use of Funds'!$F$9)*0.041666666666666664</x:f>
        <x:v>7000</x:v>
      </x:c>
      <x:c r="E9" s="194" t="n">
        <x:f>CHOOSE('Scenario Inputs'!$C$19,'Use of Funds'!$D$9,'Use of Funds'!$F$9)*0.041666666666666664</x:f>
        <x:v>7000</x:v>
      </x:c>
      <x:c r="F9" s="194" t="n">
        <x:f>CHOOSE('Scenario Inputs'!$C$19,'Use of Funds'!$D$9,'Use of Funds'!$F$9)*0.041666666666666664</x:f>
        <x:v>7000</x:v>
      </x:c>
      <x:c r="G9" s="194" t="n">
        <x:f>CHOOSE('Scenario Inputs'!$C$19,'Use of Funds'!$D$9,'Use of Funds'!$F$9)*0.041666666666666664</x:f>
        <x:v>7000</x:v>
      </x:c>
      <x:c r="H9" s="194" t="n">
        <x:f>CHOOSE('Scenario Inputs'!$C$19,'Use of Funds'!$D$9,'Use of Funds'!$F$9)*0.041666666666666664</x:f>
        <x:v>7000</x:v>
      </x:c>
      <x:c r="I9" s="194" t="n">
        <x:f>CHOOSE('Scenario Inputs'!$C$19,'Use of Funds'!$D$9,'Use of Funds'!$F$9)*0.041666666666666664</x:f>
        <x:v>7000</x:v>
      </x:c>
      <x:c r="J9" s="194" t="n">
        <x:f>CHOOSE('Scenario Inputs'!$C$19,'Use of Funds'!$D$9,'Use of Funds'!$F$9)*0.041666666666666664</x:f>
        <x:v>7000</x:v>
      </x:c>
      <x:c r="K9" s="194" t="n">
        <x:f>CHOOSE('Scenario Inputs'!$C$19,'Use of Funds'!$D$9,'Use of Funds'!$F$9)*0.041666666666666664</x:f>
        <x:v>7000</x:v>
      </x:c>
      <x:c r="L9" s="194" t="n">
        <x:f>CHOOSE('Scenario Inputs'!$C$19,'Use of Funds'!$D$9,'Use of Funds'!$F$9)*0.041666666666666664</x:f>
        <x:v>7000</x:v>
      </x:c>
      <x:c r="M9" s="194" t="n">
        <x:f>CHOOSE('Scenario Inputs'!$C$19,'Use of Funds'!$D$9,'Use of Funds'!$F$9)*0.041666666666666664</x:f>
        <x:v>7000</x:v>
      </x:c>
      <x:c r="N9" s="194" t="n">
        <x:f>CHOOSE('Scenario Inputs'!$C$19,'Use of Funds'!$D$9,'Use of Funds'!$F$9)*0.041666666666666664</x:f>
        <x:v>7000</x:v>
      </x:c>
      <x:c r="O9" s="194" t="n">
        <x:f>CHOOSE('Scenario Inputs'!$C$19,'Use of Funds'!$D$9,'Use of Funds'!$F$9)*0.041666666666666664</x:f>
        <x:v>7000</x:v>
      </x:c>
      <x:c r="P9" s="194" t="n">
        <x:f>CHOOSE('Scenario Inputs'!$C$19,'Use of Funds'!$D$9,'Use of Funds'!$F$9)*0.041666666666666664</x:f>
        <x:v>7000</x:v>
      </x:c>
      <x:c r="Q9" s="194" t="n">
        <x:f>CHOOSE('Scenario Inputs'!$C$19,'Use of Funds'!$D$9,'Use of Funds'!$F$9)*0.041666666666666664</x:f>
        <x:v>7000</x:v>
      </x:c>
      <x:c r="R9" s="194" t="n">
        <x:f>CHOOSE('Scenario Inputs'!$C$19,'Use of Funds'!$D$9,'Use of Funds'!$F$9)*0.041666666666666664</x:f>
        <x:v>7000</x:v>
      </x:c>
      <x:c r="S9" s="194" t="n">
        <x:f>CHOOSE('Scenario Inputs'!$C$19,'Use of Funds'!$D$9,'Use of Funds'!$F$9)*0.041666666666666664</x:f>
        <x:v>7000</x:v>
      </x:c>
      <x:c r="T9" s="194" t="n">
        <x:f>CHOOSE('Scenario Inputs'!$C$19,'Use of Funds'!$D$9,'Use of Funds'!$F$9)*0.041666666666666664</x:f>
        <x:v>7000</x:v>
      </x:c>
      <x:c r="U9" s="194" t="n">
        <x:f>CHOOSE('Scenario Inputs'!$C$19,'Use of Funds'!$D$9,'Use of Funds'!$F$9)*0.041666666666666664</x:f>
        <x:v>7000</x:v>
      </x:c>
      <x:c r="V9" s="194" t="n">
        <x:f>CHOOSE('Scenario Inputs'!$C$19,'Use of Funds'!$D$9,'Use of Funds'!$F$9)*0.041666666666666664</x:f>
        <x:v>7000</x:v>
      </x:c>
      <x:c r="W9" s="194" t="n">
        <x:f>CHOOSE('Scenario Inputs'!$C$19,'Use of Funds'!$D$9,'Use of Funds'!$F$9)*0.041666666666666664</x:f>
        <x:v>7000</x:v>
      </x:c>
      <x:c r="X9" s="194" t="n">
        <x:f>CHOOSE('Scenario Inputs'!$C$19,'Use of Funds'!$D$9,'Use of Funds'!$F$9)*0.041666666666666664</x:f>
        <x:v>7000</x:v>
      </x:c>
      <x:c r="Y9" s="194" t="n">
        <x:f>CHOOSE('Scenario Inputs'!$C$19,'Use of Funds'!$D$9,'Use of Funds'!$F$9)*0.041666666666666664</x:f>
        <x:v>7000</x:v>
      </x:c>
      <x:c r="Z9" s="195" t="n">
        <x:f>CHOOSE('Scenario Inputs'!$C$19,'Use of Funds'!$D$9,'Use of Funds'!$F$9)*0.041666666666666664</x:f>
        <x:v>7000</x:v>
      </x:c>
      <x:c r="AA9" s="189" t="n">
        <x:f>0</x:f>
        <x:v>0</x:v>
      </x:c>
      <x:c r="AB9" s="189" t="n">
        <x:f>0</x:f>
        <x:v>0</x:v>
      </x:c>
      <x:c r="AC9" s="189" t="n">
        <x:f>0</x:f>
        <x:v>0</x:v>
      </x:c>
      <x:c r="AD9" s="189" t="n">
        <x:f>0</x:f>
        <x:v>0</x:v>
      </x:c>
      <x:c r="AE9" s="189" t="n">
        <x:f>0</x:f>
        <x:v>0</x:v>
      </x:c>
      <x:c r="AF9" s="189" t="n">
        <x:f>0</x:f>
        <x:v>0</x:v>
      </x:c>
      <x:c r="AG9" s="189" t="n">
        <x:f>0</x:f>
        <x:v>0</x:v>
      </x:c>
      <x:c r="AH9" s="189" t="n">
        <x:f>0</x:f>
        <x:v>0</x:v>
      </x:c>
      <x:c r="AI9" s="189" t="n">
        <x:f>0</x:f>
        <x:v>0</x:v>
      </x:c>
      <x:c r="AJ9" s="189" t="n">
        <x:f>0</x:f>
        <x:v>0</x:v>
      </x:c>
      <x:c r="AK9" s="189" t="n">
        <x:f>0</x:f>
        <x:v>0</x:v>
      </x:c>
      <x:c r="AL9" s="189" t="n">
        <x:f>0</x:f>
        <x:v>0</x:v>
      </x:c>
    </x:row>
    <x:row r="10" s="4" customFormat="1" ht="32" customHeight="1">
      <x:c r="B10" s="182" t="inlineStr">
        <x:is>
          <x:t xml:space="preserve">Admin / project operations</x:t>
        </x:is>
      </x:c>
      <x:c r="C10" s="193" t="n">
        <x:f>CHOOSE('Scenario Inputs'!$C$19,'Use of Funds'!$D$10,'Use of Funds'!$F$10)*0.041666666666666664</x:f>
        <x:v>10000</x:v>
      </x:c>
      <x:c r="D10" s="194" t="n">
        <x:f>CHOOSE('Scenario Inputs'!$C$19,'Use of Funds'!$D$10,'Use of Funds'!$F$10)*0.041666666666666664</x:f>
        <x:v>10000</x:v>
      </x:c>
      <x:c r="E10" s="194" t="n">
        <x:f>CHOOSE('Scenario Inputs'!$C$19,'Use of Funds'!$D$10,'Use of Funds'!$F$10)*0.041666666666666664</x:f>
        <x:v>10000</x:v>
      </x:c>
      <x:c r="F10" s="194" t="n">
        <x:f>CHOOSE('Scenario Inputs'!$C$19,'Use of Funds'!$D$10,'Use of Funds'!$F$10)*0.041666666666666664</x:f>
        <x:v>10000</x:v>
      </x:c>
      <x:c r="G10" s="194" t="n">
        <x:f>CHOOSE('Scenario Inputs'!$C$19,'Use of Funds'!$D$10,'Use of Funds'!$F$10)*0.041666666666666664</x:f>
        <x:v>10000</x:v>
      </x:c>
      <x:c r="H10" s="194" t="n">
        <x:f>CHOOSE('Scenario Inputs'!$C$19,'Use of Funds'!$D$10,'Use of Funds'!$F$10)*0.041666666666666664</x:f>
        <x:v>10000</x:v>
      </x:c>
      <x:c r="I10" s="194" t="n">
        <x:f>CHOOSE('Scenario Inputs'!$C$19,'Use of Funds'!$D$10,'Use of Funds'!$F$10)*0.041666666666666664</x:f>
        <x:v>10000</x:v>
      </x:c>
      <x:c r="J10" s="194" t="n">
        <x:f>CHOOSE('Scenario Inputs'!$C$19,'Use of Funds'!$D$10,'Use of Funds'!$F$10)*0.041666666666666664</x:f>
        <x:v>10000</x:v>
      </x:c>
      <x:c r="K10" s="194" t="n">
        <x:f>CHOOSE('Scenario Inputs'!$C$19,'Use of Funds'!$D$10,'Use of Funds'!$F$10)*0.041666666666666664</x:f>
        <x:v>10000</x:v>
      </x:c>
      <x:c r="L10" s="194" t="n">
        <x:f>CHOOSE('Scenario Inputs'!$C$19,'Use of Funds'!$D$10,'Use of Funds'!$F$10)*0.041666666666666664</x:f>
        <x:v>10000</x:v>
      </x:c>
      <x:c r="M10" s="194" t="n">
        <x:f>CHOOSE('Scenario Inputs'!$C$19,'Use of Funds'!$D$10,'Use of Funds'!$F$10)*0.041666666666666664</x:f>
        <x:v>10000</x:v>
      </x:c>
      <x:c r="N10" s="194" t="n">
        <x:f>CHOOSE('Scenario Inputs'!$C$19,'Use of Funds'!$D$10,'Use of Funds'!$F$10)*0.041666666666666664</x:f>
        <x:v>10000</x:v>
      </x:c>
      <x:c r="O10" s="194" t="n">
        <x:f>CHOOSE('Scenario Inputs'!$C$19,'Use of Funds'!$D$10,'Use of Funds'!$F$10)*0.041666666666666664</x:f>
        <x:v>10000</x:v>
      </x:c>
      <x:c r="P10" s="194" t="n">
        <x:f>CHOOSE('Scenario Inputs'!$C$19,'Use of Funds'!$D$10,'Use of Funds'!$F$10)*0.041666666666666664</x:f>
        <x:v>10000</x:v>
      </x:c>
      <x:c r="Q10" s="194" t="n">
        <x:f>CHOOSE('Scenario Inputs'!$C$19,'Use of Funds'!$D$10,'Use of Funds'!$F$10)*0.041666666666666664</x:f>
        <x:v>10000</x:v>
      </x:c>
      <x:c r="R10" s="194" t="n">
        <x:f>CHOOSE('Scenario Inputs'!$C$19,'Use of Funds'!$D$10,'Use of Funds'!$F$10)*0.041666666666666664</x:f>
        <x:v>10000</x:v>
      </x:c>
      <x:c r="S10" s="194" t="n">
        <x:f>CHOOSE('Scenario Inputs'!$C$19,'Use of Funds'!$D$10,'Use of Funds'!$F$10)*0.041666666666666664</x:f>
        <x:v>10000</x:v>
      </x:c>
      <x:c r="T10" s="194" t="n">
        <x:f>CHOOSE('Scenario Inputs'!$C$19,'Use of Funds'!$D$10,'Use of Funds'!$F$10)*0.041666666666666664</x:f>
        <x:v>10000</x:v>
      </x:c>
      <x:c r="U10" s="194" t="n">
        <x:f>CHOOSE('Scenario Inputs'!$C$19,'Use of Funds'!$D$10,'Use of Funds'!$F$10)*0.041666666666666664</x:f>
        <x:v>10000</x:v>
      </x:c>
      <x:c r="V10" s="194" t="n">
        <x:f>CHOOSE('Scenario Inputs'!$C$19,'Use of Funds'!$D$10,'Use of Funds'!$F$10)*0.041666666666666664</x:f>
        <x:v>10000</x:v>
      </x:c>
      <x:c r="W10" s="194" t="n">
        <x:f>CHOOSE('Scenario Inputs'!$C$19,'Use of Funds'!$D$10,'Use of Funds'!$F$10)*0.041666666666666664</x:f>
        <x:v>10000</x:v>
      </x:c>
      <x:c r="X10" s="194" t="n">
        <x:f>CHOOSE('Scenario Inputs'!$C$19,'Use of Funds'!$D$10,'Use of Funds'!$F$10)*0.041666666666666664</x:f>
        <x:v>10000</x:v>
      </x:c>
      <x:c r="Y10" s="194" t="n">
        <x:f>CHOOSE('Scenario Inputs'!$C$19,'Use of Funds'!$D$10,'Use of Funds'!$F$10)*0.041666666666666664</x:f>
        <x:v>10000</x:v>
      </x:c>
      <x:c r="Z10" s="195" t="n">
        <x:f>CHOOSE('Scenario Inputs'!$C$19,'Use of Funds'!$D$10,'Use of Funds'!$F$10)*0.041666666666666664</x:f>
        <x:v>10000</x:v>
      </x:c>
      <x:c r="AA10" s="189" t="n">
        <x:f>0</x:f>
        <x:v>0</x:v>
      </x:c>
      <x:c r="AB10" s="189" t="n">
        <x:f>0</x:f>
        <x:v>0</x:v>
      </x:c>
      <x:c r="AC10" s="189" t="n">
        <x:f>0</x:f>
        <x:v>0</x:v>
      </x:c>
      <x:c r="AD10" s="189" t="n">
        <x:f>0</x:f>
        <x:v>0</x:v>
      </x:c>
      <x:c r="AE10" s="189" t="n">
        <x:f>0</x:f>
        <x:v>0</x:v>
      </x:c>
      <x:c r="AF10" s="189" t="n">
        <x:f>0</x:f>
        <x:v>0</x:v>
      </x:c>
      <x:c r="AG10" s="189" t="n">
        <x:f>0</x:f>
        <x:v>0</x:v>
      </x:c>
      <x:c r="AH10" s="189" t="n">
        <x:f>0</x:f>
        <x:v>0</x:v>
      </x:c>
      <x:c r="AI10" s="189" t="n">
        <x:f>0</x:f>
        <x:v>0</x:v>
      </x:c>
      <x:c r="AJ10" s="189" t="n">
        <x:f>0</x:f>
        <x:v>0</x:v>
      </x:c>
      <x:c r="AK10" s="189" t="n">
        <x:f>0</x:f>
        <x:v>0</x:v>
      </x:c>
      <x:c r="AL10" s="189" t="n">
        <x:f>0</x:f>
        <x:v>0</x:v>
      </x:c>
    </x:row>
    <x:row r="11" s="4" customFormat="1" ht="32" customHeight="1">
      <x:c r="B11" s="182" t="inlineStr">
        <x:is>
          <x:t xml:space="preserve">Legal / compliance</x:t>
        </x:is>
      </x:c>
      <x:c r="C11" s="193" t="n">
        <x:f>CHOOSE('Scenario Inputs'!$C$19,'Use of Funds'!$D$11,'Use of Funds'!$F$11)*0.09999999999999999</x:f>
        <x:v>14999.999999999998</x:v>
      </x:c>
      <x:c r="D11" s="194" t="n">
        <x:f>CHOOSE('Scenario Inputs'!$C$19,'Use of Funds'!$D$11,'Use of Funds'!$F$11)*0.09999999999999999</x:f>
        <x:v>14999.999999999998</x:v>
      </x:c>
      <x:c r="E11" s="194" t="n">
        <x:f>CHOOSE('Scenario Inputs'!$C$19,'Use of Funds'!$D$11,'Use of Funds'!$F$11)*0.09999999999999999</x:f>
        <x:v>14999.999999999998</x:v>
      </x:c>
      <x:c r="F11" s="194" t="n">
        <x:f>CHOOSE('Scenario Inputs'!$C$19,'Use of Funds'!$D$11,'Use of Funds'!$F$11)*0.09999999999999999</x:f>
        <x:v>14999.999999999998</x:v>
      </x:c>
      <x:c r="G11" s="194" t="n">
        <x:f>CHOOSE('Scenario Inputs'!$C$19,'Use of Funds'!$D$11,'Use of Funds'!$F$11)*0.09999999999999999</x:f>
        <x:v>14999.999999999998</x:v>
      </x:c>
      <x:c r="H11" s="194" t="n">
        <x:f>CHOOSE('Scenario Inputs'!$C$19,'Use of Funds'!$D$11,'Use of Funds'!$F$11)*0.09999999999999999</x:f>
        <x:v>14999.999999999998</x:v>
      </x:c>
      <x:c r="I11" s="194" t="n">
        <x:f>CHOOSE('Scenario Inputs'!$C$19,'Use of Funds'!$D$11,'Use of Funds'!$F$11)*0.022222222222222223</x:f>
        <x:v>3333.3333333333335</x:v>
      </x:c>
      <x:c r="J11" s="194" t="n">
        <x:f>CHOOSE('Scenario Inputs'!$C$19,'Use of Funds'!$D$11,'Use of Funds'!$F$11)*0.022222222222222223</x:f>
        <x:v>3333.3333333333335</x:v>
      </x:c>
      <x:c r="K11" s="194" t="n">
        <x:f>CHOOSE('Scenario Inputs'!$C$19,'Use of Funds'!$D$11,'Use of Funds'!$F$11)*0.022222222222222223</x:f>
        <x:v>3333.3333333333335</x:v>
      </x:c>
      <x:c r="L11" s="194" t="n">
        <x:f>CHOOSE('Scenario Inputs'!$C$19,'Use of Funds'!$D$11,'Use of Funds'!$F$11)*0.022222222222222223</x:f>
        <x:v>3333.3333333333335</x:v>
      </x:c>
      <x:c r="M11" s="194" t="n">
        <x:f>CHOOSE('Scenario Inputs'!$C$19,'Use of Funds'!$D$11,'Use of Funds'!$F$11)*0.022222222222222223</x:f>
        <x:v>3333.3333333333335</x:v>
      </x:c>
      <x:c r="N11" s="194" t="n">
        <x:f>CHOOSE('Scenario Inputs'!$C$19,'Use of Funds'!$D$11,'Use of Funds'!$F$11)*0.022222222222222223</x:f>
        <x:v>3333.3333333333335</x:v>
      </x:c>
      <x:c r="O11" s="194" t="n">
        <x:f>CHOOSE('Scenario Inputs'!$C$19,'Use of Funds'!$D$11,'Use of Funds'!$F$11)*0.022222222222222223</x:f>
        <x:v>3333.3333333333335</x:v>
      </x:c>
      <x:c r="P11" s="194" t="n">
        <x:f>CHOOSE('Scenario Inputs'!$C$19,'Use of Funds'!$D$11,'Use of Funds'!$F$11)*0.022222222222222223</x:f>
        <x:v>3333.3333333333335</x:v>
      </x:c>
      <x:c r="Q11" s="194" t="n">
        <x:f>CHOOSE('Scenario Inputs'!$C$19,'Use of Funds'!$D$11,'Use of Funds'!$F$11)*0.022222222222222223</x:f>
        <x:v>3333.3333333333335</x:v>
      </x:c>
      <x:c r="R11" s="194" t="n">
        <x:f>CHOOSE('Scenario Inputs'!$C$19,'Use of Funds'!$D$11,'Use of Funds'!$F$11)*0.022222222222222223</x:f>
        <x:v>3333.3333333333335</x:v>
      </x:c>
      <x:c r="S11" s="194" t="n">
        <x:f>CHOOSE('Scenario Inputs'!$C$19,'Use of Funds'!$D$11,'Use of Funds'!$F$11)*0.022222222222222223</x:f>
        <x:v>3333.3333333333335</x:v>
      </x:c>
      <x:c r="T11" s="194" t="n">
        <x:f>CHOOSE('Scenario Inputs'!$C$19,'Use of Funds'!$D$11,'Use of Funds'!$F$11)*0.022222222222222223</x:f>
        <x:v>3333.3333333333335</x:v>
      </x:c>
      <x:c r="U11" s="194" t="n">
        <x:f>CHOOSE('Scenario Inputs'!$C$19,'Use of Funds'!$D$11,'Use of Funds'!$F$11)*0.022222222222222223</x:f>
        <x:v>3333.3333333333335</x:v>
      </x:c>
      <x:c r="V11" s="194" t="n">
        <x:f>CHOOSE('Scenario Inputs'!$C$19,'Use of Funds'!$D$11,'Use of Funds'!$F$11)*0.022222222222222223</x:f>
        <x:v>3333.3333333333335</x:v>
      </x:c>
      <x:c r="W11" s="194" t="n">
        <x:f>CHOOSE('Scenario Inputs'!$C$19,'Use of Funds'!$D$11,'Use of Funds'!$F$11)*0.022222222222222223</x:f>
        <x:v>3333.3333333333335</x:v>
      </x:c>
      <x:c r="X11" s="194" t="n">
        <x:f>CHOOSE('Scenario Inputs'!$C$19,'Use of Funds'!$D$11,'Use of Funds'!$F$11)*0.022222222222222223</x:f>
        <x:v>3333.3333333333335</x:v>
      </x:c>
      <x:c r="Y11" s="194" t="n">
        <x:f>CHOOSE('Scenario Inputs'!$C$19,'Use of Funds'!$D$11,'Use of Funds'!$F$11)*0.022222222222222223</x:f>
        <x:v>3333.3333333333335</x:v>
      </x:c>
      <x:c r="Z11" s="195" t="n">
        <x:f>CHOOSE('Scenario Inputs'!$C$19,'Use of Funds'!$D$11,'Use of Funds'!$F$11)*0.022222222222222223</x:f>
        <x:v>3333.3333333333335</x:v>
      </x:c>
      <x:c r="AA11" s="189" t="n">
        <x:f>0</x:f>
        <x:v>0</x:v>
      </x:c>
      <x:c r="AB11" s="189" t="n">
        <x:f>0</x:f>
        <x:v>0</x:v>
      </x:c>
      <x:c r="AC11" s="189" t="n">
        <x:f>0</x:f>
        <x:v>0</x:v>
      </x:c>
      <x:c r="AD11" s="189" t="n">
        <x:f>0</x:f>
        <x:v>0</x:v>
      </x:c>
      <x:c r="AE11" s="189" t="n">
        <x:f>0</x:f>
        <x:v>0</x:v>
      </x:c>
      <x:c r="AF11" s="189" t="n">
        <x:f>0</x:f>
        <x:v>0</x:v>
      </x:c>
      <x:c r="AG11" s="189" t="n">
        <x:f>0</x:f>
        <x:v>0</x:v>
      </x:c>
      <x:c r="AH11" s="189" t="n">
        <x:f>0</x:f>
        <x:v>0</x:v>
      </x:c>
      <x:c r="AI11" s="189" t="n">
        <x:f>0</x:f>
        <x:v>0</x:v>
      </x:c>
      <x:c r="AJ11" s="189" t="n">
        <x:f>0</x:f>
        <x:v>0</x:v>
      </x:c>
      <x:c r="AK11" s="189" t="n">
        <x:f>0</x:f>
        <x:v>0</x:v>
      </x:c>
      <x:c r="AL11" s="189" t="n">
        <x:f>0</x:f>
        <x:v>0</x:v>
      </x:c>
    </x:row>
    <x:row r="12" s="4" customFormat="1" ht="32" customHeight="1">
      <x:c r="B12" s="182" t="inlineStr">
        <x:is>
          <x:t xml:space="preserve">Token engineering / governance</x:t>
        </x:is>
      </x:c>
      <x:c r="C12" s="193" t="n">
        <x:f>IF(AND('Scenario Inputs'!$C$17&gt;0,1&gt;='Scenario Inputs'!$C$17,1&lt;'Scenario Inputs'!$C$17+12),CHOOSE('Scenario Inputs'!$C$19,'Use of Funds'!$D$12,'Use of Funds'!$F$12)/12,0)</x:f>
        <x:v>0</x:v>
      </x:c>
      <x:c r="D12" s="194" t="n">
        <x:f>IF(AND('Scenario Inputs'!$C$17&gt;0,2&gt;='Scenario Inputs'!$C$17,2&lt;'Scenario Inputs'!$C$17+12),CHOOSE('Scenario Inputs'!$C$19,'Use of Funds'!$D$12,'Use of Funds'!$F$12)/12,0)</x:f>
        <x:v>0</x:v>
      </x:c>
      <x:c r="E12" s="194" t="n">
        <x:f>IF(AND('Scenario Inputs'!$C$17&gt;0,3&gt;='Scenario Inputs'!$C$17,3&lt;'Scenario Inputs'!$C$17+12),CHOOSE('Scenario Inputs'!$C$19,'Use of Funds'!$D$12,'Use of Funds'!$F$12)/12,0)</x:f>
        <x:v>0</x:v>
      </x:c>
      <x:c r="F12" s="194" t="n">
        <x:f>IF(AND('Scenario Inputs'!$C$17&gt;0,4&gt;='Scenario Inputs'!$C$17,4&lt;'Scenario Inputs'!$C$17+12),CHOOSE('Scenario Inputs'!$C$19,'Use of Funds'!$D$12,'Use of Funds'!$F$12)/12,0)</x:f>
        <x:v>0</x:v>
      </x:c>
      <x:c r="G12" s="194" t="n">
        <x:f>IF(AND('Scenario Inputs'!$C$17&gt;0,5&gt;='Scenario Inputs'!$C$17,5&lt;'Scenario Inputs'!$C$17+12),CHOOSE('Scenario Inputs'!$C$19,'Use of Funds'!$D$12,'Use of Funds'!$F$12)/12,0)</x:f>
        <x:v>0</x:v>
      </x:c>
      <x:c r="H12" s="194" t="n">
        <x:f>IF(AND('Scenario Inputs'!$C$17&gt;0,6&gt;='Scenario Inputs'!$C$17,6&lt;'Scenario Inputs'!$C$17+12),CHOOSE('Scenario Inputs'!$C$19,'Use of Funds'!$D$12,'Use of Funds'!$F$12)/12,0)</x:f>
        <x:v>0</x:v>
      </x:c>
      <x:c r="I12" s="194" t="n">
        <x:f>IF(AND('Scenario Inputs'!$C$17&gt;0,7&gt;='Scenario Inputs'!$C$17,7&lt;'Scenario Inputs'!$C$17+12),CHOOSE('Scenario Inputs'!$C$19,'Use of Funds'!$D$12,'Use of Funds'!$F$12)/12,0)</x:f>
        <x:v>0</x:v>
      </x:c>
      <x:c r="J12" s="194" t="n">
        <x:f>IF(AND('Scenario Inputs'!$C$17&gt;0,8&gt;='Scenario Inputs'!$C$17,8&lt;'Scenario Inputs'!$C$17+12),CHOOSE('Scenario Inputs'!$C$19,'Use of Funds'!$D$12,'Use of Funds'!$F$12)/12,0)</x:f>
        <x:v>0</x:v>
      </x:c>
      <x:c r="K12" s="194" t="n">
        <x:f>IF(AND('Scenario Inputs'!$C$17&gt;0,9&gt;='Scenario Inputs'!$C$17,9&lt;'Scenario Inputs'!$C$17+12),CHOOSE('Scenario Inputs'!$C$19,'Use of Funds'!$D$12,'Use of Funds'!$F$12)/12,0)</x:f>
        <x:v>0</x:v>
      </x:c>
      <x:c r="L12" s="194" t="n">
        <x:f>IF(AND('Scenario Inputs'!$C$17&gt;0,10&gt;='Scenario Inputs'!$C$17,10&lt;'Scenario Inputs'!$C$17+12),CHOOSE('Scenario Inputs'!$C$19,'Use of Funds'!$D$12,'Use of Funds'!$F$12)/12,0)</x:f>
        <x:v>0</x:v>
      </x:c>
      <x:c r="M12" s="194" t="n">
        <x:f>IF(AND('Scenario Inputs'!$C$17&gt;0,11&gt;='Scenario Inputs'!$C$17,11&lt;'Scenario Inputs'!$C$17+12),CHOOSE('Scenario Inputs'!$C$19,'Use of Funds'!$D$12,'Use of Funds'!$F$12)/12,0)</x:f>
        <x:v>0</x:v>
      </x:c>
      <x:c r="N12" s="194" t="n">
        <x:f>IF(AND('Scenario Inputs'!$C$17&gt;0,12&gt;='Scenario Inputs'!$C$17,12&lt;'Scenario Inputs'!$C$17+12),CHOOSE('Scenario Inputs'!$C$19,'Use of Funds'!$D$12,'Use of Funds'!$F$12)/12,0)</x:f>
        <x:v>0</x:v>
      </x:c>
      <x:c r="O12" s="194" t="n">
        <x:f>IF(AND('Scenario Inputs'!$C$17&gt;0,13&gt;='Scenario Inputs'!$C$17,13&lt;'Scenario Inputs'!$C$17+12),CHOOSE('Scenario Inputs'!$C$19,'Use of Funds'!$D$12,'Use of Funds'!$F$12)/12,0)</x:f>
        <x:v>0</x:v>
      </x:c>
      <x:c r="P12" s="194" t="n">
        <x:f>IF(AND('Scenario Inputs'!$C$17&gt;0,14&gt;='Scenario Inputs'!$C$17,14&lt;'Scenario Inputs'!$C$17+12),CHOOSE('Scenario Inputs'!$C$19,'Use of Funds'!$D$12,'Use of Funds'!$F$12)/12,0)</x:f>
        <x:v>0</x:v>
      </x:c>
      <x:c r="Q12" s="194" t="n">
        <x:f>IF(AND('Scenario Inputs'!$C$17&gt;0,15&gt;='Scenario Inputs'!$C$17,15&lt;'Scenario Inputs'!$C$17+12),CHOOSE('Scenario Inputs'!$C$19,'Use of Funds'!$D$12,'Use of Funds'!$F$12)/12,0)</x:f>
        <x:v>0</x:v>
      </x:c>
      <x:c r="R12" s="194" t="n">
        <x:f>IF(AND('Scenario Inputs'!$C$17&gt;0,16&gt;='Scenario Inputs'!$C$17,16&lt;'Scenario Inputs'!$C$17+12),CHOOSE('Scenario Inputs'!$C$19,'Use of Funds'!$D$12,'Use of Funds'!$F$12)/12,0)</x:f>
        <x:v>0</x:v>
      </x:c>
      <x:c r="S12" s="194" t="n">
        <x:f>IF(AND('Scenario Inputs'!$C$17&gt;0,17&gt;='Scenario Inputs'!$C$17,17&lt;'Scenario Inputs'!$C$17+12),CHOOSE('Scenario Inputs'!$C$19,'Use of Funds'!$D$12,'Use of Funds'!$F$12)/12,0)</x:f>
        <x:v>0</x:v>
      </x:c>
      <x:c r="T12" s="194" t="n">
        <x:f>IF(AND('Scenario Inputs'!$C$17&gt;0,18&gt;='Scenario Inputs'!$C$17,18&lt;'Scenario Inputs'!$C$17+12),CHOOSE('Scenario Inputs'!$C$19,'Use of Funds'!$D$12,'Use of Funds'!$F$12)/12,0)</x:f>
        <x:v>0</x:v>
      </x:c>
      <x:c r="U12" s="194" t="n">
        <x:f>IF(AND('Scenario Inputs'!$C$17&gt;0,19&gt;='Scenario Inputs'!$C$17,19&lt;'Scenario Inputs'!$C$17+12),CHOOSE('Scenario Inputs'!$C$19,'Use of Funds'!$D$12,'Use of Funds'!$F$12)/12,0)</x:f>
        <x:v>0</x:v>
      </x:c>
      <x:c r="V12" s="194" t="n">
        <x:f>IF(AND('Scenario Inputs'!$C$17&gt;0,20&gt;='Scenario Inputs'!$C$17,20&lt;'Scenario Inputs'!$C$17+12),CHOOSE('Scenario Inputs'!$C$19,'Use of Funds'!$D$12,'Use of Funds'!$F$12)/12,0)</x:f>
        <x:v>0</x:v>
      </x:c>
      <x:c r="W12" s="194" t="n">
        <x:f>IF(AND('Scenario Inputs'!$C$17&gt;0,21&gt;='Scenario Inputs'!$C$17,21&lt;'Scenario Inputs'!$C$17+12),CHOOSE('Scenario Inputs'!$C$19,'Use of Funds'!$D$12,'Use of Funds'!$F$12)/12,0)</x:f>
        <x:v>0</x:v>
      </x:c>
      <x:c r="X12" s="194" t="n">
        <x:f>IF(AND('Scenario Inputs'!$C$17&gt;0,22&gt;='Scenario Inputs'!$C$17,22&lt;'Scenario Inputs'!$C$17+12),CHOOSE('Scenario Inputs'!$C$19,'Use of Funds'!$D$12,'Use of Funds'!$F$12)/12,0)</x:f>
        <x:v>0</x:v>
      </x:c>
      <x:c r="Y12" s="194" t="n">
        <x:f>IF(AND('Scenario Inputs'!$C$17&gt;0,23&gt;='Scenario Inputs'!$C$17,23&lt;'Scenario Inputs'!$C$17+12),CHOOSE('Scenario Inputs'!$C$19,'Use of Funds'!$D$12,'Use of Funds'!$F$12)/12,0)</x:f>
        <x:v>0</x:v>
      </x:c>
      <x:c r="Z12" s="195" t="n">
        <x:f>IF(AND('Scenario Inputs'!$C$17&gt;0,24&gt;='Scenario Inputs'!$C$17,24&lt;'Scenario Inputs'!$C$17+12),CHOOSE('Scenario Inputs'!$C$19,'Use of Funds'!$D$12,'Use of Funds'!$F$12)/12,0)</x:f>
        <x:v>0</x:v>
      </x:c>
      <x:c r="AA12" s="189" t="n">
        <x:f>IF(AND('Scenario Inputs'!$C$17&gt;0,25&gt;='Scenario Inputs'!$C$17,25&lt;'Scenario Inputs'!$C$17+12),CHOOSE('Scenario Inputs'!$C$19,'Use of Funds'!$D$12,'Use of Funds'!$F$12)/12,0)</x:f>
        <x:v>0</x:v>
      </x:c>
      <x:c r="AB12" s="189" t="n">
        <x:f>IF(AND('Scenario Inputs'!$C$17&gt;0,26&gt;='Scenario Inputs'!$C$17,26&lt;'Scenario Inputs'!$C$17+12),CHOOSE('Scenario Inputs'!$C$19,'Use of Funds'!$D$12,'Use of Funds'!$F$12)/12,0)</x:f>
        <x:v>0</x:v>
      </x:c>
      <x:c r="AC12" s="189" t="n">
        <x:f>IF(AND('Scenario Inputs'!$C$17&gt;0,27&gt;='Scenario Inputs'!$C$17,27&lt;'Scenario Inputs'!$C$17+12),CHOOSE('Scenario Inputs'!$C$19,'Use of Funds'!$D$12,'Use of Funds'!$F$12)/12,0)</x:f>
        <x:v>0</x:v>
      </x:c>
      <x:c r="AD12" s="189" t="n">
        <x:f>IF(AND('Scenario Inputs'!$C$17&gt;0,28&gt;='Scenario Inputs'!$C$17,28&lt;'Scenario Inputs'!$C$17+12),CHOOSE('Scenario Inputs'!$C$19,'Use of Funds'!$D$12,'Use of Funds'!$F$12)/12,0)</x:f>
        <x:v>0</x:v>
      </x:c>
      <x:c r="AE12" s="189" t="n">
        <x:f>IF(AND('Scenario Inputs'!$C$17&gt;0,29&gt;='Scenario Inputs'!$C$17,29&lt;'Scenario Inputs'!$C$17+12),CHOOSE('Scenario Inputs'!$C$19,'Use of Funds'!$D$12,'Use of Funds'!$F$12)/12,0)</x:f>
        <x:v>0</x:v>
      </x:c>
      <x:c r="AF12" s="189" t="n">
        <x:f>IF(AND('Scenario Inputs'!$C$17&gt;0,30&gt;='Scenario Inputs'!$C$17,30&lt;'Scenario Inputs'!$C$17+12),CHOOSE('Scenario Inputs'!$C$19,'Use of Funds'!$D$12,'Use of Funds'!$F$12)/12,0)</x:f>
        <x:v>0</x:v>
      </x:c>
      <x:c r="AG12" s="189" t="n">
        <x:f>IF(AND('Scenario Inputs'!$C$17&gt;0,31&gt;='Scenario Inputs'!$C$17,31&lt;'Scenario Inputs'!$C$17+12),CHOOSE('Scenario Inputs'!$C$19,'Use of Funds'!$D$12,'Use of Funds'!$F$12)/12,0)</x:f>
        <x:v>0</x:v>
      </x:c>
      <x:c r="AH12" s="189" t="n">
        <x:f>IF(AND('Scenario Inputs'!$C$17&gt;0,32&gt;='Scenario Inputs'!$C$17,32&lt;'Scenario Inputs'!$C$17+12),CHOOSE('Scenario Inputs'!$C$19,'Use of Funds'!$D$12,'Use of Funds'!$F$12)/12,0)</x:f>
        <x:v>0</x:v>
      </x:c>
      <x:c r="AI12" s="189" t="n">
        <x:f>IF(AND('Scenario Inputs'!$C$17&gt;0,33&gt;='Scenario Inputs'!$C$17,33&lt;'Scenario Inputs'!$C$17+12),CHOOSE('Scenario Inputs'!$C$19,'Use of Funds'!$D$12,'Use of Funds'!$F$12)/12,0)</x:f>
        <x:v>0</x:v>
      </x:c>
      <x:c r="AJ12" s="189" t="n">
        <x:f>IF(AND('Scenario Inputs'!$C$17&gt;0,34&gt;='Scenario Inputs'!$C$17,34&lt;'Scenario Inputs'!$C$17+12),CHOOSE('Scenario Inputs'!$C$19,'Use of Funds'!$D$12,'Use of Funds'!$F$12)/12,0)</x:f>
        <x:v>0</x:v>
      </x:c>
      <x:c r="AK12" s="189" t="n">
        <x:f>IF(AND('Scenario Inputs'!$C$17&gt;0,35&gt;='Scenario Inputs'!$C$17,35&lt;'Scenario Inputs'!$C$17+12),CHOOSE('Scenario Inputs'!$C$19,'Use of Funds'!$D$12,'Use of Funds'!$F$12)/12,0)</x:f>
        <x:v>0</x:v>
      </x:c>
      <x:c r="AL12" s="189" t="n">
        <x:f>IF(AND('Scenario Inputs'!$C$17&gt;0,36&gt;='Scenario Inputs'!$C$17,36&lt;'Scenario Inputs'!$C$17+12),CHOOSE('Scenario Inputs'!$C$19,'Use of Funds'!$D$12,'Use of Funds'!$F$12)/12,0)</x:f>
        <x:v>0</x:v>
      </x:c>
    </x:row>
    <x:row r="13" s="4" customFormat="1" ht="32" customHeight="1">
      <x:c r="B13" s="182" t="inlineStr">
        <x:is>
          <x:t xml:space="preserve">Market liquidity / MM readiness</x:t>
        </x:is>
      </x:c>
      <x:c r="C13" s="193" t="n">
        <x:f>IF(AND('Scenario Inputs'!$C$18&gt;0,1&gt;='Scenario Inputs'!$C$18,1&lt;'Scenario Inputs'!$C$18+9),CHOOSE('Scenario Inputs'!$C$19,'Use of Funds'!$D$13,'Use of Funds'!$F$13)/9,0)</x:f>
        <x:v>0</x:v>
      </x:c>
      <x:c r="D13" s="194" t="n">
        <x:f>IF(AND('Scenario Inputs'!$C$18&gt;0,2&gt;='Scenario Inputs'!$C$18,2&lt;'Scenario Inputs'!$C$18+9),CHOOSE('Scenario Inputs'!$C$19,'Use of Funds'!$D$13,'Use of Funds'!$F$13)/9,0)</x:f>
        <x:v>0</x:v>
      </x:c>
      <x:c r="E13" s="194" t="n">
        <x:f>IF(AND('Scenario Inputs'!$C$18&gt;0,3&gt;='Scenario Inputs'!$C$18,3&lt;'Scenario Inputs'!$C$18+9),CHOOSE('Scenario Inputs'!$C$19,'Use of Funds'!$D$13,'Use of Funds'!$F$13)/9,0)</x:f>
        <x:v>0</x:v>
      </x:c>
      <x:c r="F13" s="194" t="n">
        <x:f>IF(AND('Scenario Inputs'!$C$18&gt;0,4&gt;='Scenario Inputs'!$C$18,4&lt;'Scenario Inputs'!$C$18+9),CHOOSE('Scenario Inputs'!$C$19,'Use of Funds'!$D$13,'Use of Funds'!$F$13)/9,0)</x:f>
        <x:v>0</x:v>
      </x:c>
      <x:c r="G13" s="194" t="n">
        <x:f>IF(AND('Scenario Inputs'!$C$18&gt;0,5&gt;='Scenario Inputs'!$C$18,5&lt;'Scenario Inputs'!$C$18+9),CHOOSE('Scenario Inputs'!$C$19,'Use of Funds'!$D$13,'Use of Funds'!$F$13)/9,0)</x:f>
        <x:v>0</x:v>
      </x:c>
      <x:c r="H13" s="194" t="n">
        <x:f>IF(AND('Scenario Inputs'!$C$18&gt;0,6&gt;='Scenario Inputs'!$C$18,6&lt;'Scenario Inputs'!$C$18+9),CHOOSE('Scenario Inputs'!$C$19,'Use of Funds'!$D$13,'Use of Funds'!$F$13)/9,0)</x:f>
        <x:v>0</x:v>
      </x:c>
      <x:c r="I13" s="194" t="n">
        <x:f>IF(AND('Scenario Inputs'!$C$18&gt;0,7&gt;='Scenario Inputs'!$C$18,7&lt;'Scenario Inputs'!$C$18+9),CHOOSE('Scenario Inputs'!$C$19,'Use of Funds'!$D$13,'Use of Funds'!$F$13)/9,0)</x:f>
        <x:v>0</x:v>
      </x:c>
      <x:c r="J13" s="194" t="n">
        <x:f>IF(AND('Scenario Inputs'!$C$18&gt;0,8&gt;='Scenario Inputs'!$C$18,8&lt;'Scenario Inputs'!$C$18+9),CHOOSE('Scenario Inputs'!$C$19,'Use of Funds'!$D$13,'Use of Funds'!$F$13)/9,0)</x:f>
        <x:v>0</x:v>
      </x:c>
      <x:c r="K13" s="194" t="n">
        <x:f>IF(AND('Scenario Inputs'!$C$18&gt;0,9&gt;='Scenario Inputs'!$C$18,9&lt;'Scenario Inputs'!$C$18+9),CHOOSE('Scenario Inputs'!$C$19,'Use of Funds'!$D$13,'Use of Funds'!$F$13)/9,0)</x:f>
        <x:v>0</x:v>
      </x:c>
      <x:c r="L13" s="194" t="n">
        <x:f>IF(AND('Scenario Inputs'!$C$18&gt;0,10&gt;='Scenario Inputs'!$C$18,10&lt;'Scenario Inputs'!$C$18+9),CHOOSE('Scenario Inputs'!$C$19,'Use of Funds'!$D$13,'Use of Funds'!$F$13)/9,0)</x:f>
        <x:v>0</x:v>
      </x:c>
      <x:c r="M13" s="194" t="n">
        <x:f>IF(AND('Scenario Inputs'!$C$18&gt;0,11&gt;='Scenario Inputs'!$C$18,11&lt;'Scenario Inputs'!$C$18+9),CHOOSE('Scenario Inputs'!$C$19,'Use of Funds'!$D$13,'Use of Funds'!$F$13)/9,0)</x:f>
        <x:v>0</x:v>
      </x:c>
      <x:c r="N13" s="194" t="n">
        <x:f>IF(AND('Scenario Inputs'!$C$18&gt;0,12&gt;='Scenario Inputs'!$C$18,12&lt;'Scenario Inputs'!$C$18+9),CHOOSE('Scenario Inputs'!$C$19,'Use of Funds'!$D$13,'Use of Funds'!$F$13)/9,0)</x:f>
        <x:v>0</x:v>
      </x:c>
      <x:c r="O13" s="194" t="n">
        <x:f>IF(AND('Scenario Inputs'!$C$18&gt;0,13&gt;='Scenario Inputs'!$C$18,13&lt;'Scenario Inputs'!$C$18+9),CHOOSE('Scenario Inputs'!$C$19,'Use of Funds'!$D$13,'Use of Funds'!$F$13)/9,0)</x:f>
        <x:v>0</x:v>
      </x:c>
      <x:c r="P13" s="194" t="n">
        <x:f>IF(AND('Scenario Inputs'!$C$18&gt;0,14&gt;='Scenario Inputs'!$C$18,14&lt;'Scenario Inputs'!$C$18+9),CHOOSE('Scenario Inputs'!$C$19,'Use of Funds'!$D$13,'Use of Funds'!$F$13)/9,0)</x:f>
        <x:v>0</x:v>
      </x:c>
      <x:c r="Q13" s="194" t="n">
        <x:f>IF(AND('Scenario Inputs'!$C$18&gt;0,15&gt;='Scenario Inputs'!$C$18,15&lt;'Scenario Inputs'!$C$18+9),CHOOSE('Scenario Inputs'!$C$19,'Use of Funds'!$D$13,'Use of Funds'!$F$13)/9,0)</x:f>
        <x:v>0</x:v>
      </x:c>
      <x:c r="R13" s="194" t="n">
        <x:f>IF(AND('Scenario Inputs'!$C$18&gt;0,16&gt;='Scenario Inputs'!$C$18,16&lt;'Scenario Inputs'!$C$18+9),CHOOSE('Scenario Inputs'!$C$19,'Use of Funds'!$D$13,'Use of Funds'!$F$13)/9,0)</x:f>
        <x:v>0</x:v>
      </x:c>
      <x:c r="S13" s="194" t="n">
        <x:f>IF(AND('Scenario Inputs'!$C$18&gt;0,17&gt;='Scenario Inputs'!$C$18,17&lt;'Scenario Inputs'!$C$18+9),CHOOSE('Scenario Inputs'!$C$19,'Use of Funds'!$D$13,'Use of Funds'!$F$13)/9,0)</x:f>
        <x:v>0</x:v>
      </x:c>
      <x:c r="T13" s="194" t="n">
        <x:f>IF(AND('Scenario Inputs'!$C$18&gt;0,18&gt;='Scenario Inputs'!$C$18,18&lt;'Scenario Inputs'!$C$18+9),CHOOSE('Scenario Inputs'!$C$19,'Use of Funds'!$D$13,'Use of Funds'!$F$13)/9,0)</x:f>
        <x:v>0</x:v>
      </x:c>
      <x:c r="U13" s="194" t="n">
        <x:f>IF(AND('Scenario Inputs'!$C$18&gt;0,19&gt;='Scenario Inputs'!$C$18,19&lt;'Scenario Inputs'!$C$18+9),CHOOSE('Scenario Inputs'!$C$19,'Use of Funds'!$D$13,'Use of Funds'!$F$13)/9,0)</x:f>
        <x:v>0</x:v>
      </x:c>
      <x:c r="V13" s="194" t="n">
        <x:f>IF(AND('Scenario Inputs'!$C$18&gt;0,20&gt;='Scenario Inputs'!$C$18,20&lt;'Scenario Inputs'!$C$18+9),CHOOSE('Scenario Inputs'!$C$19,'Use of Funds'!$D$13,'Use of Funds'!$F$13)/9,0)</x:f>
        <x:v>0</x:v>
      </x:c>
      <x:c r="W13" s="194" t="n">
        <x:f>IF(AND('Scenario Inputs'!$C$18&gt;0,21&gt;='Scenario Inputs'!$C$18,21&lt;'Scenario Inputs'!$C$18+9),CHOOSE('Scenario Inputs'!$C$19,'Use of Funds'!$D$13,'Use of Funds'!$F$13)/9,0)</x:f>
        <x:v>0</x:v>
      </x:c>
      <x:c r="X13" s="194" t="n">
        <x:f>IF(AND('Scenario Inputs'!$C$18&gt;0,22&gt;='Scenario Inputs'!$C$18,22&lt;'Scenario Inputs'!$C$18+9),CHOOSE('Scenario Inputs'!$C$19,'Use of Funds'!$D$13,'Use of Funds'!$F$13)/9,0)</x:f>
        <x:v>0</x:v>
      </x:c>
      <x:c r="Y13" s="194" t="n">
        <x:f>IF(AND('Scenario Inputs'!$C$18&gt;0,23&gt;='Scenario Inputs'!$C$18,23&lt;'Scenario Inputs'!$C$18+9),CHOOSE('Scenario Inputs'!$C$19,'Use of Funds'!$D$13,'Use of Funds'!$F$13)/9,0)</x:f>
        <x:v>0</x:v>
      </x:c>
      <x:c r="Z13" s="195" t="n">
        <x:f>IF(AND('Scenario Inputs'!$C$18&gt;0,24&gt;='Scenario Inputs'!$C$18,24&lt;'Scenario Inputs'!$C$18+9),CHOOSE('Scenario Inputs'!$C$19,'Use of Funds'!$D$13,'Use of Funds'!$F$13)/9,0)</x:f>
        <x:v>0</x:v>
      </x:c>
      <x:c r="AA13" s="189" t="n">
        <x:f>IF(AND('Scenario Inputs'!$C$18&gt;0,25&gt;='Scenario Inputs'!$C$18,25&lt;'Scenario Inputs'!$C$18+9),CHOOSE('Scenario Inputs'!$C$19,'Use of Funds'!$D$13,'Use of Funds'!$F$13)/9,0)</x:f>
        <x:v>0</x:v>
      </x:c>
      <x:c r="AB13" s="189" t="n">
        <x:f>IF(AND('Scenario Inputs'!$C$18&gt;0,26&gt;='Scenario Inputs'!$C$18,26&lt;'Scenario Inputs'!$C$18+9),CHOOSE('Scenario Inputs'!$C$19,'Use of Funds'!$D$13,'Use of Funds'!$F$13)/9,0)</x:f>
        <x:v>0</x:v>
      </x:c>
      <x:c r="AC13" s="189" t="n">
        <x:f>IF(AND('Scenario Inputs'!$C$18&gt;0,27&gt;='Scenario Inputs'!$C$18,27&lt;'Scenario Inputs'!$C$18+9),CHOOSE('Scenario Inputs'!$C$19,'Use of Funds'!$D$13,'Use of Funds'!$F$13)/9,0)</x:f>
        <x:v>0</x:v>
      </x:c>
      <x:c r="AD13" s="189" t="n">
        <x:f>IF(AND('Scenario Inputs'!$C$18&gt;0,28&gt;='Scenario Inputs'!$C$18,28&lt;'Scenario Inputs'!$C$18+9),CHOOSE('Scenario Inputs'!$C$19,'Use of Funds'!$D$13,'Use of Funds'!$F$13)/9,0)</x:f>
        <x:v>0</x:v>
      </x:c>
      <x:c r="AE13" s="189" t="n">
        <x:f>IF(AND('Scenario Inputs'!$C$18&gt;0,29&gt;='Scenario Inputs'!$C$18,29&lt;'Scenario Inputs'!$C$18+9),CHOOSE('Scenario Inputs'!$C$19,'Use of Funds'!$D$13,'Use of Funds'!$F$13)/9,0)</x:f>
        <x:v>0</x:v>
      </x:c>
      <x:c r="AF13" s="189" t="n">
        <x:f>IF(AND('Scenario Inputs'!$C$18&gt;0,30&gt;='Scenario Inputs'!$C$18,30&lt;'Scenario Inputs'!$C$18+9),CHOOSE('Scenario Inputs'!$C$19,'Use of Funds'!$D$13,'Use of Funds'!$F$13)/9,0)</x:f>
        <x:v>0</x:v>
      </x:c>
      <x:c r="AG13" s="189" t="n">
        <x:f>IF(AND('Scenario Inputs'!$C$18&gt;0,31&gt;='Scenario Inputs'!$C$18,31&lt;'Scenario Inputs'!$C$18+9),CHOOSE('Scenario Inputs'!$C$19,'Use of Funds'!$D$13,'Use of Funds'!$F$13)/9,0)</x:f>
        <x:v>0</x:v>
      </x:c>
      <x:c r="AH13" s="189" t="n">
        <x:f>IF(AND('Scenario Inputs'!$C$18&gt;0,32&gt;='Scenario Inputs'!$C$18,32&lt;'Scenario Inputs'!$C$18+9),CHOOSE('Scenario Inputs'!$C$19,'Use of Funds'!$D$13,'Use of Funds'!$F$13)/9,0)</x:f>
        <x:v>0</x:v>
      </x:c>
      <x:c r="AI13" s="189" t="n">
        <x:f>IF(AND('Scenario Inputs'!$C$18&gt;0,33&gt;='Scenario Inputs'!$C$18,33&lt;'Scenario Inputs'!$C$18+9),CHOOSE('Scenario Inputs'!$C$19,'Use of Funds'!$D$13,'Use of Funds'!$F$13)/9,0)</x:f>
        <x:v>0</x:v>
      </x:c>
      <x:c r="AJ13" s="189" t="n">
        <x:f>IF(AND('Scenario Inputs'!$C$18&gt;0,34&gt;='Scenario Inputs'!$C$18,34&lt;'Scenario Inputs'!$C$18+9),CHOOSE('Scenario Inputs'!$C$19,'Use of Funds'!$D$13,'Use of Funds'!$F$13)/9,0)</x:f>
        <x:v>0</x:v>
      </x:c>
      <x:c r="AK13" s="189" t="n">
        <x:f>IF(AND('Scenario Inputs'!$C$18&gt;0,35&gt;='Scenario Inputs'!$C$18,35&lt;'Scenario Inputs'!$C$18+9),CHOOSE('Scenario Inputs'!$C$19,'Use of Funds'!$D$13,'Use of Funds'!$F$13)/9,0)</x:f>
        <x:v>0</x:v>
      </x:c>
      <x:c r="AL13" s="189" t="n">
        <x:f>IF(AND('Scenario Inputs'!$C$18&gt;0,36&gt;='Scenario Inputs'!$C$18,36&lt;'Scenario Inputs'!$C$18+9),CHOOSE('Scenario Inputs'!$C$19,'Use of Funds'!$D$13,'Use of Funds'!$F$13)/9,0)</x:f>
        <x:v>0</x:v>
      </x:c>
    </x:row>
    <x:row r="14" s="4" customFormat="1" ht="32" customHeight="1">
      <x:c r="B14" s="182" t="inlineStr">
        <x:is>
          <x:t xml:space="preserve">Infrastructure / tools</x:t>
        </x:is>
      </x:c>
      <x:c r="C14" s="193" t="n">
        <x:f>CHOOSE('Scenario Inputs'!$C$19,'Use of Funds'!$D$14,'Use of Funds'!$F$14)*0.016666666666666666</x:f>
        <x:v>2000</x:v>
      </x:c>
      <x:c r="D14" s="194" t="n">
        <x:f>CHOOSE('Scenario Inputs'!$C$19,'Use of Funds'!$D$14,'Use of Funds'!$F$14)*0.016666666666666666</x:f>
        <x:v>2000</x:v>
      </x:c>
      <x:c r="E14" s="194" t="n">
        <x:f>CHOOSE('Scenario Inputs'!$C$19,'Use of Funds'!$D$14,'Use of Funds'!$F$14)*0.016666666666666666</x:f>
        <x:v>2000</x:v>
      </x:c>
      <x:c r="F14" s="194" t="n">
        <x:f>CHOOSE('Scenario Inputs'!$C$19,'Use of Funds'!$D$14,'Use of Funds'!$F$14)*0.016666666666666666</x:f>
        <x:v>2000</x:v>
      </x:c>
      <x:c r="G14" s="194" t="n">
        <x:f>CHOOSE('Scenario Inputs'!$C$19,'Use of Funds'!$D$14,'Use of Funds'!$F$14)*0.016666666666666666</x:f>
        <x:v>2000</x:v>
      </x:c>
      <x:c r="H14" s="194" t="n">
        <x:f>CHOOSE('Scenario Inputs'!$C$19,'Use of Funds'!$D$14,'Use of Funds'!$F$14)*0.016666666666666666</x:f>
        <x:v>2000</x:v>
      </x:c>
      <x:c r="I14" s="194" t="n">
        <x:f>CHOOSE('Scenario Inputs'!$C$19,'Use of Funds'!$D$14,'Use of Funds'!$F$14)*0.03333333333333333</x:f>
        <x:v>4000</x:v>
      </x:c>
      <x:c r="J14" s="194" t="n">
        <x:f>CHOOSE('Scenario Inputs'!$C$19,'Use of Funds'!$D$14,'Use of Funds'!$F$14)*0.03333333333333333</x:f>
        <x:v>4000</x:v>
      </x:c>
      <x:c r="K14" s="194" t="n">
        <x:f>CHOOSE('Scenario Inputs'!$C$19,'Use of Funds'!$D$14,'Use of Funds'!$F$14)*0.03333333333333333</x:f>
        <x:v>4000</x:v>
      </x:c>
      <x:c r="L14" s="194" t="n">
        <x:f>CHOOSE('Scenario Inputs'!$C$19,'Use of Funds'!$D$14,'Use of Funds'!$F$14)*0.03333333333333333</x:f>
        <x:v>4000</x:v>
      </x:c>
      <x:c r="M14" s="194" t="n">
        <x:f>CHOOSE('Scenario Inputs'!$C$19,'Use of Funds'!$D$14,'Use of Funds'!$F$14)*0.03333333333333333</x:f>
        <x:v>4000</x:v>
      </x:c>
      <x:c r="N14" s="194" t="n">
        <x:f>CHOOSE('Scenario Inputs'!$C$19,'Use of Funds'!$D$14,'Use of Funds'!$F$14)*0.03333333333333333</x:f>
        <x:v>4000</x:v>
      </x:c>
      <x:c r="O14" s="194" t="n">
        <x:f>CHOOSE('Scenario Inputs'!$C$19,'Use of Funds'!$D$14,'Use of Funds'!$F$14)*0.058333333333333334</x:f>
        <x:v>7000</x:v>
      </x:c>
      <x:c r="P14" s="194" t="n">
        <x:f>CHOOSE('Scenario Inputs'!$C$19,'Use of Funds'!$D$14,'Use of Funds'!$F$14)*0.058333333333333334</x:f>
        <x:v>7000</x:v>
      </x:c>
      <x:c r="Q14" s="194" t="n">
        <x:f>CHOOSE('Scenario Inputs'!$C$19,'Use of Funds'!$D$14,'Use of Funds'!$F$14)*0.058333333333333334</x:f>
        <x:v>7000</x:v>
      </x:c>
      <x:c r="R14" s="194" t="n">
        <x:f>CHOOSE('Scenario Inputs'!$C$19,'Use of Funds'!$D$14,'Use of Funds'!$F$14)*0.058333333333333334</x:f>
        <x:v>7000</x:v>
      </x:c>
      <x:c r="S14" s="194" t="n">
        <x:f>CHOOSE('Scenario Inputs'!$C$19,'Use of Funds'!$D$14,'Use of Funds'!$F$14)*0.058333333333333334</x:f>
        <x:v>7000</x:v>
      </x:c>
      <x:c r="T14" s="194" t="n">
        <x:f>CHOOSE('Scenario Inputs'!$C$19,'Use of Funds'!$D$14,'Use of Funds'!$F$14)*0.058333333333333334</x:f>
        <x:v>7000</x:v>
      </x:c>
      <x:c r="U14" s="194" t="n">
        <x:f>CHOOSE('Scenario Inputs'!$C$19,'Use of Funds'!$D$14,'Use of Funds'!$F$14)*0.058333333333333334</x:f>
        <x:v>7000</x:v>
      </x:c>
      <x:c r="V14" s="194" t="n">
        <x:f>CHOOSE('Scenario Inputs'!$C$19,'Use of Funds'!$D$14,'Use of Funds'!$F$14)*0.058333333333333334</x:f>
        <x:v>7000</x:v>
      </x:c>
      <x:c r="W14" s="194" t="n">
        <x:f>CHOOSE('Scenario Inputs'!$C$19,'Use of Funds'!$D$14,'Use of Funds'!$F$14)*0.058333333333333334</x:f>
        <x:v>7000</x:v>
      </x:c>
      <x:c r="X14" s="194" t="n">
        <x:f>CHOOSE('Scenario Inputs'!$C$19,'Use of Funds'!$D$14,'Use of Funds'!$F$14)*0.058333333333333334</x:f>
        <x:v>7000</x:v>
      </x:c>
      <x:c r="Y14" s="194" t="n">
        <x:f>CHOOSE('Scenario Inputs'!$C$19,'Use of Funds'!$D$14,'Use of Funds'!$F$14)*0.058333333333333334</x:f>
        <x:v>7000</x:v>
      </x:c>
      <x:c r="Z14" s="195" t="n">
        <x:f>CHOOSE('Scenario Inputs'!$C$19,'Use of Funds'!$D$14,'Use of Funds'!$F$14)*0.058333333333333334</x:f>
        <x:v>7000</x:v>
      </x:c>
      <x:c r="AA14" s="189" t="n">
        <x:f>0</x:f>
        <x:v>0</x:v>
      </x:c>
      <x:c r="AB14" s="189" t="n">
        <x:f>0</x:f>
        <x:v>0</x:v>
      </x:c>
      <x:c r="AC14" s="189" t="n">
        <x:f>0</x:f>
        <x:v>0</x:v>
      </x:c>
      <x:c r="AD14" s="189" t="n">
        <x:f>0</x:f>
        <x:v>0</x:v>
      </x:c>
      <x:c r="AE14" s="189" t="n">
        <x:f>0</x:f>
        <x:v>0</x:v>
      </x:c>
      <x:c r="AF14" s="189" t="n">
        <x:f>0</x:f>
        <x:v>0</x:v>
      </x:c>
      <x:c r="AG14" s="189" t="n">
        <x:f>0</x:f>
        <x:v>0</x:v>
      </x:c>
      <x:c r="AH14" s="189" t="n">
        <x:f>0</x:f>
        <x:v>0</x:v>
      </x:c>
      <x:c r="AI14" s="189" t="n">
        <x:f>0</x:f>
        <x:v>0</x:v>
      </x:c>
      <x:c r="AJ14" s="189" t="n">
        <x:f>0</x:f>
        <x:v>0</x:v>
      </x:c>
      <x:c r="AK14" s="189" t="n">
        <x:f>0</x:f>
        <x:v>0</x:v>
      </x:c>
      <x:c r="AL14" s="189" t="n">
        <x:f>0</x:f>
        <x:v>0</x:v>
      </x:c>
    </x:row>
    <x:row r="15" s="4" customFormat="1" ht="32" customHeight="1">
      <x:c r="B15" s="182" t="inlineStr">
        <x:is>
          <x:t xml:space="preserve">Market-development hub</x:t>
        </x:is>
      </x:c>
      <x:c r="C15" s="193" t="n">
        <x:f>CHOOSE('Scenario Inputs'!$C$19,'Use of Funds'!$D$15,'Use of Funds'!$F$15)*0</x:f>
        <x:v>0</x:v>
      </x:c>
      <x:c r="D15" s="194" t="n">
        <x:f>CHOOSE('Scenario Inputs'!$C$19,'Use of Funds'!$D$15,'Use of Funds'!$F$15)*0</x:f>
        <x:v>0</x:v>
      </x:c>
      <x:c r="E15" s="194" t="n">
        <x:f>CHOOSE('Scenario Inputs'!$C$19,'Use of Funds'!$D$15,'Use of Funds'!$F$15)*0.045</x:f>
        <x:v>4500</x:v>
      </x:c>
      <x:c r="F15" s="194" t="n">
        <x:f>CHOOSE('Scenario Inputs'!$C$19,'Use of Funds'!$D$15,'Use of Funds'!$F$15)*0.045</x:f>
        <x:v>4500</x:v>
      </x:c>
      <x:c r="G15" s="194" t="n">
        <x:f>CHOOSE('Scenario Inputs'!$C$19,'Use of Funds'!$D$15,'Use of Funds'!$F$15)*0.045</x:f>
        <x:v>4500</x:v>
      </x:c>
      <x:c r="H15" s="194" t="n">
        <x:f>CHOOSE('Scenario Inputs'!$C$19,'Use of Funds'!$D$15,'Use of Funds'!$F$15)*0.045</x:f>
        <x:v>4500</x:v>
      </x:c>
      <x:c r="I15" s="194" t="n">
        <x:f>CHOOSE('Scenario Inputs'!$C$19,'Use of Funds'!$D$15,'Use of Funds'!$F$15)*0.045</x:f>
        <x:v>4500</x:v>
      </x:c>
      <x:c r="J15" s="194" t="n">
        <x:f>CHOOSE('Scenario Inputs'!$C$19,'Use of Funds'!$D$15,'Use of Funds'!$F$15)*0.045</x:f>
        <x:v>4500</x:v>
      </x:c>
      <x:c r="K15" s="194" t="n">
        <x:f>CHOOSE('Scenario Inputs'!$C$19,'Use of Funds'!$D$15,'Use of Funds'!$F$15)*0.045</x:f>
        <x:v>4500</x:v>
      </x:c>
      <x:c r="L15" s="194" t="n">
        <x:f>CHOOSE('Scenario Inputs'!$C$19,'Use of Funds'!$D$15,'Use of Funds'!$F$15)*0.045</x:f>
        <x:v>4500</x:v>
      </x:c>
      <x:c r="M15" s="194" t="n">
        <x:f>CHOOSE('Scenario Inputs'!$C$19,'Use of Funds'!$D$15,'Use of Funds'!$F$15)*0.045</x:f>
        <x:v>4500</x:v>
      </x:c>
      <x:c r="N15" s="194" t="n">
        <x:f>CHOOSE('Scenario Inputs'!$C$19,'Use of Funds'!$D$15,'Use of Funds'!$F$15)*0.045</x:f>
        <x:v>4500</x:v>
      </x:c>
      <x:c r="O15" s="194" t="n">
        <x:f>CHOOSE('Scenario Inputs'!$C$19,'Use of Funds'!$D$15,'Use of Funds'!$F$15)*0.045</x:f>
        <x:v>4500</x:v>
      </x:c>
      <x:c r="P15" s="194" t="n">
        <x:f>CHOOSE('Scenario Inputs'!$C$19,'Use of Funds'!$D$15,'Use of Funds'!$F$15)*0.045</x:f>
        <x:v>4500</x:v>
      </x:c>
      <x:c r="Q15" s="194" t="n">
        <x:f>CHOOSE('Scenario Inputs'!$C$19,'Use of Funds'!$D$15,'Use of Funds'!$F$15)*0.045</x:f>
        <x:v>4500</x:v>
      </x:c>
      <x:c r="R15" s="194" t="n">
        <x:f>CHOOSE('Scenario Inputs'!$C$19,'Use of Funds'!$D$15,'Use of Funds'!$F$15)*0.045</x:f>
        <x:v>4500</x:v>
      </x:c>
      <x:c r="S15" s="194" t="n">
        <x:f>CHOOSE('Scenario Inputs'!$C$19,'Use of Funds'!$D$15,'Use of Funds'!$F$15)*0.045</x:f>
        <x:v>4500</x:v>
      </x:c>
      <x:c r="T15" s="194" t="n">
        <x:f>CHOOSE('Scenario Inputs'!$C$19,'Use of Funds'!$D$15,'Use of Funds'!$F$15)*0.045</x:f>
        <x:v>4500</x:v>
      </x:c>
      <x:c r="U15" s="194" t="n">
        <x:f>CHOOSE('Scenario Inputs'!$C$19,'Use of Funds'!$D$15,'Use of Funds'!$F$15)*0.05</x:f>
        <x:v>5000</x:v>
      </x:c>
      <x:c r="V15" s="194" t="n">
        <x:f>CHOOSE('Scenario Inputs'!$C$19,'Use of Funds'!$D$15,'Use of Funds'!$F$15)*0.05</x:f>
        <x:v>5000</x:v>
      </x:c>
      <x:c r="W15" s="194" t="n">
        <x:f>CHOOSE('Scenario Inputs'!$C$19,'Use of Funds'!$D$15,'Use of Funds'!$F$15)*0.05</x:f>
        <x:v>5000</x:v>
      </x:c>
      <x:c r="X15" s="194" t="n">
        <x:f>CHOOSE('Scenario Inputs'!$C$19,'Use of Funds'!$D$15,'Use of Funds'!$F$15)*0.05</x:f>
        <x:v>5000</x:v>
      </x:c>
      <x:c r="Y15" s="194" t="n">
        <x:f>CHOOSE('Scenario Inputs'!$C$19,'Use of Funds'!$D$15,'Use of Funds'!$F$15)*0.05</x:f>
        <x:v>5000</x:v>
      </x:c>
      <x:c r="Z15" s="195" t="n">
        <x:f>CHOOSE('Scenario Inputs'!$C$19,'Use of Funds'!$D$15,'Use of Funds'!$F$15)*0.03</x:f>
        <x:v>3000</x:v>
      </x:c>
      <x:c r="AA15" s="189" t="n">
        <x:f>0</x:f>
        <x:v>0</x:v>
      </x:c>
      <x:c r="AB15" s="189" t="n">
        <x:f>0</x:f>
        <x:v>0</x:v>
      </x:c>
      <x:c r="AC15" s="189" t="n">
        <x:f>0</x:f>
        <x:v>0</x:v>
      </x:c>
      <x:c r="AD15" s="189" t="n">
        <x:f>0</x:f>
        <x:v>0</x:v>
      </x:c>
      <x:c r="AE15" s="189" t="n">
        <x:f>0</x:f>
        <x:v>0</x:v>
      </x:c>
      <x:c r="AF15" s="189" t="n">
        <x:f>0</x:f>
        <x:v>0</x:v>
      </x:c>
      <x:c r="AG15" s="189" t="n">
        <x:f>0</x:f>
        <x:v>0</x:v>
      </x:c>
      <x:c r="AH15" s="189" t="n">
        <x:f>0</x:f>
        <x:v>0</x:v>
      </x:c>
      <x:c r="AI15" s="189" t="n">
        <x:f>0</x:f>
        <x:v>0</x:v>
      </x:c>
      <x:c r="AJ15" s="189" t="n">
        <x:f>0</x:f>
        <x:v>0</x:v>
      </x:c>
      <x:c r="AK15" s="189" t="n">
        <x:f>0</x:f>
        <x:v>0</x:v>
      </x:c>
      <x:c r="AL15" s="189" t="n">
        <x:f>0</x:f>
        <x:v>0</x:v>
      </x:c>
    </x:row>
    <x:row r="16" s="4" customFormat="1" ht="32" customHeight="1">
      <x:c r="B16" s="182" t="inlineStr">
        <x:is>
          <x:t xml:space="preserve">Strategic events</x:t>
        </x:is>
      </x:c>
      <x:c r="C16" s="193" t="n">
        <x:f>CHOOSE('Scenario Inputs'!$C$19,'Use of Funds'!$D$16,'Use of Funds'!$F$16)*0.2</x:f>
        <x:v>10000</x:v>
      </x:c>
      <x:c r="D16" s="194" t="n">
        <x:f>CHOOSE('Scenario Inputs'!$C$19,'Use of Funds'!$D$16,'Use of Funds'!$F$16)*0</x:f>
        <x:v>0</x:v>
      </x:c>
      <x:c r="E16" s="194" t="n">
        <x:f>CHOOSE('Scenario Inputs'!$C$19,'Use of Funds'!$D$16,'Use of Funds'!$F$16)*0</x:f>
        <x:v>0</x:v>
      </x:c>
      <x:c r="F16" s="194" t="n">
        <x:f>CHOOSE('Scenario Inputs'!$C$19,'Use of Funds'!$D$16,'Use of Funds'!$F$16)*0.16</x:f>
        <x:v>8000</x:v>
      </x:c>
      <x:c r="G16" s="194" t="n">
        <x:f>CHOOSE('Scenario Inputs'!$C$19,'Use of Funds'!$D$16,'Use of Funds'!$F$16)*0</x:f>
        <x:v>0</x:v>
      </x:c>
      <x:c r="H16" s="194" t="n">
        <x:f>CHOOSE('Scenario Inputs'!$C$19,'Use of Funds'!$D$16,'Use of Funds'!$F$16)*0</x:f>
        <x:v>0</x:v>
      </x:c>
      <x:c r="I16" s="194" t="n">
        <x:f>CHOOSE('Scenario Inputs'!$C$19,'Use of Funds'!$D$16,'Use of Funds'!$F$16)*0.16</x:f>
        <x:v>8000</x:v>
      </x:c>
      <x:c r="J16" s="194" t="n">
        <x:f>CHOOSE('Scenario Inputs'!$C$19,'Use of Funds'!$D$16,'Use of Funds'!$F$16)*0</x:f>
        <x:v>0</x:v>
      </x:c>
      <x:c r="K16" s="194" t="n">
        <x:f>CHOOSE('Scenario Inputs'!$C$19,'Use of Funds'!$D$16,'Use of Funds'!$F$16)*0</x:f>
        <x:v>0</x:v>
      </x:c>
      <x:c r="L16" s="194" t="n">
        <x:f>CHOOSE('Scenario Inputs'!$C$19,'Use of Funds'!$D$16,'Use of Funds'!$F$16)*0.16</x:f>
        <x:v>8000</x:v>
      </x:c>
      <x:c r="M16" s="194" t="n">
        <x:f>CHOOSE('Scenario Inputs'!$C$19,'Use of Funds'!$D$16,'Use of Funds'!$F$16)*0</x:f>
        <x:v>0</x:v>
      </x:c>
      <x:c r="N16" s="194" t="n">
        <x:f>CHOOSE('Scenario Inputs'!$C$19,'Use of Funds'!$D$16,'Use of Funds'!$F$16)*0</x:f>
        <x:v>0</x:v>
      </x:c>
      <x:c r="O16" s="194" t="n">
        <x:f>CHOOSE('Scenario Inputs'!$C$19,'Use of Funds'!$D$16,'Use of Funds'!$F$16)*0.16</x:f>
        <x:v>8000</x:v>
      </x:c>
      <x:c r="P16" s="194" t="n">
        <x:f>CHOOSE('Scenario Inputs'!$C$19,'Use of Funds'!$D$16,'Use of Funds'!$F$16)*0</x:f>
        <x:v>0</x:v>
      </x:c>
      <x:c r="Q16" s="194" t="n">
        <x:f>CHOOSE('Scenario Inputs'!$C$19,'Use of Funds'!$D$16,'Use of Funds'!$F$16)*0</x:f>
        <x:v>0</x:v>
      </x:c>
      <x:c r="R16" s="194" t="n">
        <x:f>CHOOSE('Scenario Inputs'!$C$19,'Use of Funds'!$D$16,'Use of Funds'!$F$16)*0.16</x:f>
        <x:v>8000</x:v>
      </x:c>
      <x:c r="S16" s="194" t="n">
        <x:f>CHOOSE('Scenario Inputs'!$C$19,'Use of Funds'!$D$16,'Use of Funds'!$F$16)*0</x:f>
        <x:v>0</x:v>
      </x:c>
      <x:c r="T16" s="194" t="n">
        <x:f>CHOOSE('Scenario Inputs'!$C$19,'Use of Funds'!$D$16,'Use of Funds'!$F$16)*0</x:f>
        <x:v>0</x:v>
      </x:c>
      <x:c r="U16" s="194" t="n">
        <x:f>CHOOSE('Scenario Inputs'!$C$19,'Use of Funds'!$D$16,'Use of Funds'!$F$16)*0</x:f>
        <x:v>0</x:v>
      </x:c>
      <x:c r="V16" s="194" t="n">
        <x:f>CHOOSE('Scenario Inputs'!$C$19,'Use of Funds'!$D$16,'Use of Funds'!$F$16)*0</x:f>
        <x:v>0</x:v>
      </x:c>
      <x:c r="W16" s="194" t="n">
        <x:f>CHOOSE('Scenario Inputs'!$C$19,'Use of Funds'!$D$16,'Use of Funds'!$F$16)*0</x:f>
        <x:v>0</x:v>
      </x:c>
      <x:c r="X16" s="194" t="n">
        <x:f>CHOOSE('Scenario Inputs'!$C$19,'Use of Funds'!$D$16,'Use of Funds'!$F$16)*0</x:f>
        <x:v>0</x:v>
      </x:c>
      <x:c r="Y16" s="194" t="n">
        <x:f>CHOOSE('Scenario Inputs'!$C$19,'Use of Funds'!$D$16,'Use of Funds'!$F$16)*0</x:f>
        <x:v>0</x:v>
      </x:c>
      <x:c r="Z16" s="195" t="n">
        <x:f>CHOOSE('Scenario Inputs'!$C$19,'Use of Funds'!$D$16,'Use of Funds'!$F$16)*0</x:f>
        <x:v>0</x:v>
      </x:c>
      <x:c r="AA16" s="189" t="n">
        <x:f>0</x:f>
        <x:v>0</x:v>
      </x:c>
      <x:c r="AB16" s="189" t="n">
        <x:f>0</x:f>
        <x:v>0</x:v>
      </x:c>
      <x:c r="AC16" s="189" t="n">
        <x:f>0</x:f>
        <x:v>0</x:v>
      </x:c>
      <x:c r="AD16" s="189" t="n">
        <x:f>0</x:f>
        <x:v>0</x:v>
      </x:c>
      <x:c r="AE16" s="189" t="n">
        <x:f>0</x:f>
        <x:v>0</x:v>
      </x:c>
      <x:c r="AF16" s="189" t="n">
        <x:f>0</x:f>
        <x:v>0</x:v>
      </x:c>
      <x:c r="AG16" s="189" t="n">
        <x:f>0</x:f>
        <x:v>0</x:v>
      </x:c>
      <x:c r="AH16" s="189" t="n">
        <x:f>0</x:f>
        <x:v>0</x:v>
      </x:c>
      <x:c r="AI16" s="189" t="n">
        <x:f>0</x:f>
        <x:v>0</x:v>
      </x:c>
      <x:c r="AJ16" s="189" t="n">
        <x:f>0</x:f>
        <x:v>0</x:v>
      </x:c>
      <x:c r="AK16" s="189" t="n">
        <x:f>0</x:f>
        <x:v>0</x:v>
      </x:c>
      <x:c r="AL16" s="189" t="n">
        <x:f>0</x:f>
        <x:v>0</x:v>
      </x:c>
    </x:row>
    <x:row r="17" s="4" customFormat="1" ht="32" customHeight="1">
      <x:c r="B17" s="182" t="inlineStr">
        <x:is>
          <x:t xml:space="preserve">Monthly spend</x:t>
        </x:is>
      </x:c>
      <x:c r="C17" s="193" t="n">
        <x:f>SUM(C8:C16)*(1+'Scenario Inputs'!$C$10)+'Scenario Inputs'!$C$21</x:f>
        <x:v>61083</x:v>
      </x:c>
      <x:c r="D17" s="194" t="n">
        <x:f>SUM(D8:D16)*(1+'Scenario Inputs'!$C$10)+'Scenario Inputs'!$C$21</x:f>
        <x:v>55083</x:v>
      </x:c>
      <x:c r="E17" s="194" t="n">
        <x:f>SUM(E8:E16)*(1+'Scenario Inputs'!$C$10)+'Scenario Inputs'!$C$21</x:f>
        <x:v>59583</x:v>
      </x:c>
      <x:c r="F17" s="194" t="n">
        <x:f>SUM(F8:F16)*(1+'Scenario Inputs'!$C$10)+'Scenario Inputs'!$C$21</x:f>
        <x:v>72583</x:v>
      </x:c>
      <x:c r="G17" s="194" t="n">
        <x:f>SUM(G8:G16)*(1+'Scenario Inputs'!$C$10)+'Scenario Inputs'!$C$21</x:f>
        <x:v>64583</x:v>
      </x:c>
      <x:c r="H17" s="194" t="n">
        <x:f>SUM(H8:H16)*(1+'Scenario Inputs'!$C$10)+'Scenario Inputs'!$C$21</x:f>
        <x:v>64583</x:v>
      </x:c>
      <x:c r="I17" s="194" t="n">
        <x:f>SUM(I8:I16)*(1+'Scenario Inputs'!$C$10)+'Scenario Inputs'!$C$21</x:f>
        <x:v>62249.333333333336</x:v>
      </x:c>
      <x:c r="J17" s="194" t="n">
        <x:f>SUM(J8:J16)*(1+'Scenario Inputs'!$C$10)+'Scenario Inputs'!$C$21</x:f>
        <x:v>54249.333333333336</x:v>
      </x:c>
      <x:c r="K17" s="194" t="n">
        <x:f>SUM(K8:K16)*(1+'Scenario Inputs'!$C$10)+'Scenario Inputs'!$C$21</x:f>
        <x:v>54249.333333333336</x:v>
      </x:c>
      <x:c r="L17" s="194" t="n">
        <x:f>SUM(L8:L16)*(1+'Scenario Inputs'!$C$10)+'Scenario Inputs'!$C$21</x:f>
        <x:v>62249.333333333336</x:v>
      </x:c>
      <x:c r="M17" s="194" t="n">
        <x:f>SUM(M8:M16)*(1+'Scenario Inputs'!$C$10)+'Scenario Inputs'!$C$21</x:f>
        <x:v>54249.333333333336</x:v>
      </x:c>
      <x:c r="N17" s="194" t="n">
        <x:f>SUM(N8:N16)*(1+'Scenario Inputs'!$C$10)+'Scenario Inputs'!$C$21</x:f>
        <x:v>54249.333333333336</x:v>
      </x:c>
      <x:c r="O17" s="194" t="n">
        <x:f>SUM(O8:O16)*(1+'Scenario Inputs'!$C$10)+'Scenario Inputs'!$C$21</x:f>
        <x:v>68583.33333333334</x:v>
      </x:c>
      <x:c r="P17" s="194" t="n">
        <x:f>SUM(P8:P16)*(1+'Scenario Inputs'!$C$10)+'Scenario Inputs'!$C$21</x:f>
        <x:v>60583.333333333336</x:v>
      </x:c>
      <x:c r="Q17" s="194" t="n">
        <x:f>SUM(Q8:Q16)*(1+'Scenario Inputs'!$C$10)+'Scenario Inputs'!$C$21</x:f>
        <x:v>60583.333333333336</x:v>
      </x:c>
      <x:c r="R17" s="194" t="n">
        <x:f>SUM(R8:R16)*(1+'Scenario Inputs'!$C$10)+'Scenario Inputs'!$C$21</x:f>
        <x:v>68583.33333333334</x:v>
      </x:c>
      <x:c r="S17" s="194" t="n">
        <x:f>SUM(S8:S16)*(1+'Scenario Inputs'!$C$10)+'Scenario Inputs'!$C$21</x:f>
        <x:v>60583.333333333336</x:v>
      </x:c>
      <x:c r="T17" s="194" t="n">
        <x:f>SUM(T8:T16)*(1+'Scenario Inputs'!$C$10)+'Scenario Inputs'!$C$21</x:f>
        <x:v>60583.333333333336</x:v>
      </x:c>
      <x:c r="U17" s="194" t="n">
        <x:f>SUM(U8:U16)*(1+'Scenario Inputs'!$C$10)+'Scenario Inputs'!$C$21</x:f>
        <x:v>63583.333333333336</x:v>
      </x:c>
      <x:c r="V17" s="194" t="n">
        <x:f>SUM(V8:V16)*(1+'Scenario Inputs'!$C$10)+'Scenario Inputs'!$C$21</x:f>
        <x:v>63583.333333333336</x:v>
      </x:c>
      <x:c r="W17" s="194" t="n">
        <x:f>SUM(W8:W16)*(1+'Scenario Inputs'!$C$10)+'Scenario Inputs'!$C$21</x:f>
        <x:v>63583.333333333336</x:v>
      </x:c>
      <x:c r="X17" s="194" t="n">
        <x:f>SUM(X8:X16)*(1+'Scenario Inputs'!$C$10)+'Scenario Inputs'!$C$21</x:f>
        <x:v>63583.333333333336</x:v>
      </x:c>
      <x:c r="Y17" s="194" t="n">
        <x:f>SUM(Y8:Y16)*(1+'Scenario Inputs'!$C$10)+'Scenario Inputs'!$C$21</x:f>
        <x:v>63583.333333333336</x:v>
      </x:c>
      <x:c r="Z17" s="195" t="n">
        <x:f>SUM(Z8:Z16)*(1+'Scenario Inputs'!$C$10)+'Scenario Inputs'!$C$21</x:f>
        <x:v>61589.333333333336</x:v>
      </x:c>
      <x:c r="AA17" s="189" t="n">
        <x:f>SUM(AA8:AA16)*(1+'Scenario Inputs'!$C$10)+'Scenario Inputs'!$C$21</x:f>
        <x:v>100000</x:v>
      </x:c>
      <x:c r="AB17" s="189" t="n">
        <x:f>SUM(AB8:AB16)*(1+'Scenario Inputs'!$C$10)+'Scenario Inputs'!$C$21</x:f>
        <x:v>100000</x:v>
      </x:c>
      <x:c r="AC17" s="189" t="n">
        <x:f>SUM(AC8:AC16)*(1+'Scenario Inputs'!$C$10)+'Scenario Inputs'!$C$21</x:f>
        <x:v>100000</x:v>
      </x:c>
      <x:c r="AD17" s="189" t="n">
        <x:f>SUM(AD8:AD16)*(1+'Scenario Inputs'!$C$10)+'Scenario Inputs'!$C$21</x:f>
        <x:v>100000</x:v>
      </x:c>
      <x:c r="AE17" s="189" t="n">
        <x:f>SUM(AE8:AE16)*(1+'Scenario Inputs'!$C$10)+'Scenario Inputs'!$C$21</x:f>
        <x:v>100000</x:v>
      </x:c>
      <x:c r="AF17" s="189" t="n">
        <x:f>SUM(AF8:AF16)*(1+'Scenario Inputs'!$C$10)+'Scenario Inputs'!$C$21</x:f>
        <x:v>100000</x:v>
      </x:c>
      <x:c r="AG17" s="189" t="n">
        <x:f>SUM(AG8:AG16)*(1+'Scenario Inputs'!$C$10)+'Scenario Inputs'!$C$21</x:f>
        <x:v>100000</x:v>
      </x:c>
      <x:c r="AH17" s="189" t="n">
        <x:f>SUM(AH8:AH16)*(1+'Scenario Inputs'!$C$10)+'Scenario Inputs'!$C$21</x:f>
        <x:v>100000</x:v>
      </x:c>
      <x:c r="AI17" s="189" t="n">
        <x:f>SUM(AI8:AI16)*(1+'Scenario Inputs'!$C$10)+'Scenario Inputs'!$C$21</x:f>
        <x:v>100000</x:v>
      </x:c>
      <x:c r="AJ17" s="189" t="n">
        <x:f>SUM(AJ8:AJ16)*(1+'Scenario Inputs'!$C$10)+'Scenario Inputs'!$C$21</x:f>
        <x:v>100000</x:v>
      </x:c>
      <x:c r="AK17" s="189" t="n">
        <x:f>SUM(AK8:AK16)*(1+'Scenario Inputs'!$C$10)+'Scenario Inputs'!$C$21</x:f>
        <x:v>100000</x:v>
      </x:c>
      <x:c r="AL17" s="189" t="n">
        <x:f>SUM(AL8:AL16)*(1+'Scenario Inputs'!$C$10)+'Scenario Inputs'!$C$21</x:f>
        <x:v>100000</x:v>
      </x:c>
    </x:row>
    <x:row r="18" s="4" customFormat="1" ht="32" customHeight="1">
      <x:c r="B18" s="182" t="inlineStr">
        <x:is>
          <x:t xml:space="preserve">Cumulative spend</x:t>
        </x:is>
      </x:c>
      <x:c r="C18" s="193" t="n">
        <x:f>C17</x:f>
        <x:v>61083</x:v>
      </x:c>
      <x:c r="D18" s="194" t="n">
        <x:f>C18+D17</x:f>
        <x:v>116166</x:v>
      </x:c>
      <x:c r="E18" s="194" t="n">
        <x:f>D18+E17</x:f>
        <x:v>175749</x:v>
      </x:c>
      <x:c r="F18" s="194" t="n">
        <x:f>E18+F17</x:f>
        <x:v>248332</x:v>
      </x:c>
      <x:c r="G18" s="194" t="n">
        <x:f>F18+G17</x:f>
        <x:v>312915</x:v>
      </x:c>
      <x:c r="H18" s="194" t="n">
        <x:f>G18+H17</x:f>
        <x:v>377498</x:v>
      </x:c>
      <x:c r="I18" s="194" t="n">
        <x:f>H18+I17</x:f>
        <x:v>439747.3333333333</x:v>
      </x:c>
      <x:c r="J18" s="194" t="n">
        <x:f>I18+J17</x:f>
        <x:v>493996.6666666666</x:v>
      </x:c>
      <x:c r="K18" s="194" t="n">
        <x:f>J18+K17</x:f>
        <x:v>548246</x:v>
      </x:c>
      <x:c r="L18" s="194" t="n">
        <x:f>K18+L17</x:f>
        <x:v>610495.3333333334</x:v>
      </x:c>
      <x:c r="M18" s="194" t="n">
        <x:f>L18+M17</x:f>
        <x:v>664744.6666666667</x:v>
      </x:c>
      <x:c r="N18" s="194" t="n">
        <x:f>M18+N17</x:f>
        <x:v>718994.0000000001</x:v>
      </x:c>
      <x:c r="O18" s="194" t="n">
        <x:f>N18+O17</x:f>
        <x:v>787577.3333333335</x:v>
      </x:c>
      <x:c r="P18" s="194" t="n">
        <x:f>O18+P17</x:f>
        <x:v>848160.6666666669</x:v>
      </x:c>
      <x:c r="Q18" s="194" t="n">
        <x:f>P18+Q17</x:f>
        <x:v>908744.0000000002</x:v>
      </x:c>
      <x:c r="R18" s="194" t="n">
        <x:f>Q18+R17</x:f>
        <x:v>977327.3333333336</x:v>
      </x:c>
      <x:c r="S18" s="194" t="n">
        <x:f>R18+S17</x:f>
        <x:v>1037910.666666667</x:v>
      </x:c>
      <x:c r="T18" s="194" t="n">
        <x:f>S18+T17</x:f>
        <x:v>1098494.0000000002</x:v>
      </x:c>
      <x:c r="U18" s="194" t="n">
        <x:f>T18+U17</x:f>
        <x:v>1162077.3333333335</x:v>
      </x:c>
      <x:c r="V18" s="194" t="n">
        <x:f>U18+V17</x:f>
        <x:v>1225660.6666666667</x:v>
      </x:c>
      <x:c r="W18" s="194" t="n">
        <x:f>V18+W17</x:f>
        <x:v>1289244</x:v>
      </x:c>
      <x:c r="X18" s="194" t="n">
        <x:f>W18+X17</x:f>
        <x:v>1352827.3333333333</x:v>
      </x:c>
      <x:c r="Y18" s="194" t="n">
        <x:f>X18+Y17</x:f>
        <x:v>1416410.6666666665</x:v>
      </x:c>
      <x:c r="Z18" s="195" t="n">
        <x:f>Y18+Z17</x:f>
        <x:v>1477999.9999999998</x:v>
      </x:c>
      <x:c r="AA18" s="189" t="n">
        <x:f>Z18+AA17</x:f>
        <x:v>1577999.9999999998</x:v>
      </x:c>
      <x:c r="AB18" s="189" t="n">
        <x:f>AA18+AB17</x:f>
        <x:v>1677999.9999999998</x:v>
      </x:c>
      <x:c r="AC18" s="189" t="n">
        <x:f>AB18+AC17</x:f>
        <x:v>1777999.9999999998</x:v>
      </x:c>
      <x:c r="AD18" s="189" t="n">
        <x:f>AC18+AD17</x:f>
        <x:v>1877999.9999999998</x:v>
      </x:c>
      <x:c r="AE18" s="189" t="n">
        <x:f>AD18+AE17</x:f>
        <x:v>1977999.9999999998</x:v>
      </x:c>
      <x:c r="AF18" s="189" t="n">
        <x:f>AE18+AF17</x:f>
        <x:v>2077999.9999999998</x:v>
      </x:c>
      <x:c r="AG18" s="189" t="n">
        <x:f>AF18+AG17</x:f>
        <x:v>2178000</x:v>
      </x:c>
      <x:c r="AH18" s="189" t="n">
        <x:f>AG18+AH17</x:f>
        <x:v>2278000</x:v>
      </x:c>
      <x:c r="AI18" s="189" t="n">
        <x:f>AH18+AI17</x:f>
        <x:v>2378000</x:v>
      </x:c>
      <x:c r="AJ18" s="189" t="n">
        <x:f>AI18+AJ17</x:f>
        <x:v>2478000</x:v>
      </x:c>
      <x:c r="AK18" s="189" t="n">
        <x:f>AJ18+AK17</x:f>
        <x:v>2578000</x:v>
      </x:c>
      <x:c r="AL18" s="189" t="n">
        <x:f>AK18+AL17</x:f>
        <x:v>2678000</x:v>
      </x:c>
    </x:row>
    <x:row r="19" s="4" customFormat="1" ht="32" customHeight="1">
      <x:c r="B19" s="182" t="inlineStr">
        <x:is>
          <x:t xml:space="preserve">Ending cash</x:t>
        </x:is>
      </x:c>
      <x:c r="C19" s="193" t="n">
        <x:f>CHOOSE('Scenario Inputs'!$C$19,'Assumptions'!$D$8,'Assumptions'!$E$8)-C18</x:f>
        <x:v>1938917</x:v>
      </x:c>
      <x:c r="D19" s="194" t="n">
        <x:f>CHOOSE('Scenario Inputs'!$C$19,'Assumptions'!$D$8,'Assumptions'!$E$8)-D18</x:f>
        <x:v>1883834</x:v>
      </x:c>
      <x:c r="E19" s="194" t="n">
        <x:f>CHOOSE('Scenario Inputs'!$C$19,'Assumptions'!$D$8,'Assumptions'!$E$8)-E18</x:f>
        <x:v>1824251</x:v>
      </x:c>
      <x:c r="F19" s="194" t="n">
        <x:f>CHOOSE('Scenario Inputs'!$C$19,'Assumptions'!$D$8,'Assumptions'!$E$8)-F18</x:f>
        <x:v>1751668</x:v>
      </x:c>
      <x:c r="G19" s="194" t="n">
        <x:f>CHOOSE('Scenario Inputs'!$C$19,'Assumptions'!$D$8,'Assumptions'!$E$8)-G18</x:f>
        <x:v>1687085</x:v>
      </x:c>
      <x:c r="H19" s="194" t="n">
        <x:f>CHOOSE('Scenario Inputs'!$C$19,'Assumptions'!$D$8,'Assumptions'!$E$8)-H18</x:f>
        <x:v>1622502</x:v>
      </x:c>
      <x:c r="I19" s="194" t="n">
        <x:f>CHOOSE('Scenario Inputs'!$C$19,'Assumptions'!$D$8,'Assumptions'!$E$8)-I18</x:f>
        <x:v>1560252.6666666667</x:v>
      </x:c>
      <x:c r="J19" s="194" t="n">
        <x:f>CHOOSE('Scenario Inputs'!$C$19,'Assumptions'!$D$8,'Assumptions'!$E$8)-J18</x:f>
        <x:v>1506003.3333333335</x:v>
      </x:c>
      <x:c r="K19" s="194" t="n">
        <x:f>CHOOSE('Scenario Inputs'!$C$19,'Assumptions'!$D$8,'Assumptions'!$E$8)-K18</x:f>
        <x:v>1451754</x:v>
      </x:c>
      <x:c r="L19" s="194" t="n">
        <x:f>CHOOSE('Scenario Inputs'!$C$19,'Assumptions'!$D$8,'Assumptions'!$E$8)-L18</x:f>
        <x:v>1389504.6666666665</x:v>
      </x:c>
      <x:c r="M19" s="194" t="n">
        <x:f>CHOOSE('Scenario Inputs'!$C$19,'Assumptions'!$D$8,'Assumptions'!$E$8)-M18</x:f>
        <x:v>1335255.3333333333</x:v>
      </x:c>
      <x:c r="N19" s="194" t="n">
        <x:f>CHOOSE('Scenario Inputs'!$C$19,'Assumptions'!$D$8,'Assumptions'!$E$8)-N18</x:f>
        <x:v>1281006</x:v>
      </x:c>
      <x:c r="O19" s="194" t="n">
        <x:f>CHOOSE('Scenario Inputs'!$C$19,'Assumptions'!$D$8,'Assumptions'!$E$8)-O18</x:f>
        <x:v>1212422.6666666665</x:v>
      </x:c>
      <x:c r="P19" s="194" t="n">
        <x:f>CHOOSE('Scenario Inputs'!$C$19,'Assumptions'!$D$8,'Assumptions'!$E$8)-P18</x:f>
        <x:v>1151839.333333333</x:v>
      </x:c>
      <x:c r="Q19" s="194" t="n">
        <x:f>CHOOSE('Scenario Inputs'!$C$19,'Assumptions'!$D$8,'Assumptions'!$E$8)-Q18</x:f>
        <x:v>1091255.9999999998</x:v>
      </x:c>
      <x:c r="R19" s="194" t="n">
        <x:f>CHOOSE('Scenario Inputs'!$C$19,'Assumptions'!$D$8,'Assumptions'!$E$8)-R18</x:f>
        <x:v>1022672.6666666664</x:v>
      </x:c>
      <x:c r="S19" s="194" t="n">
        <x:f>CHOOSE('Scenario Inputs'!$C$19,'Assumptions'!$D$8,'Assumptions'!$E$8)-S18</x:f>
        <x:v>962089.333333333</x:v>
      </x:c>
      <x:c r="T19" s="194" t="n">
        <x:f>CHOOSE('Scenario Inputs'!$C$19,'Assumptions'!$D$8,'Assumptions'!$E$8)-T18</x:f>
        <x:v>901505.9999999998</x:v>
      </x:c>
      <x:c r="U19" s="194" t="n">
        <x:f>CHOOSE('Scenario Inputs'!$C$19,'Assumptions'!$D$8,'Assumptions'!$E$8)-U18</x:f>
        <x:v>837922.6666666665</x:v>
      </x:c>
      <x:c r="V19" s="194" t="n">
        <x:f>CHOOSE('Scenario Inputs'!$C$19,'Assumptions'!$D$8,'Assumptions'!$E$8)-V18</x:f>
        <x:v>774339.3333333333</x:v>
      </x:c>
      <x:c r="W19" s="194" t="n">
        <x:f>CHOOSE('Scenario Inputs'!$C$19,'Assumptions'!$D$8,'Assumptions'!$E$8)-W18</x:f>
        <x:v>710756</x:v>
      </x:c>
      <x:c r="X19" s="194" t="n">
        <x:f>CHOOSE('Scenario Inputs'!$C$19,'Assumptions'!$D$8,'Assumptions'!$E$8)-X18</x:f>
        <x:v>647172.6666666667</x:v>
      </x:c>
      <x:c r="Y19" s="194" t="n">
        <x:f>CHOOSE('Scenario Inputs'!$C$19,'Assumptions'!$D$8,'Assumptions'!$E$8)-Y18</x:f>
        <x:v>583589.3333333335</x:v>
      </x:c>
      <x:c r="Z19" s="195" t="n">
        <x:f>CHOOSE('Scenario Inputs'!$C$19,'Assumptions'!$D$8,'Assumptions'!$E$8)-Z18</x:f>
        <x:v>522000.00000000023</x:v>
      </x:c>
      <x:c r="AA19" s="189" t="n">
        <x:f>CHOOSE('Scenario Inputs'!$C$19,'Assumptions'!$D$8,'Assumptions'!$E$8)-AA18</x:f>
        <x:v>422000.00000000023</x:v>
      </x:c>
      <x:c r="AB19" s="189" t="n">
        <x:f>CHOOSE('Scenario Inputs'!$C$19,'Assumptions'!$D$8,'Assumptions'!$E$8)-AB18</x:f>
        <x:v>322000.00000000023</x:v>
      </x:c>
      <x:c r="AC19" s="189" t="n">
        <x:f>CHOOSE('Scenario Inputs'!$C$19,'Assumptions'!$D$8,'Assumptions'!$E$8)-AC18</x:f>
        <x:v>222000.00000000023</x:v>
      </x:c>
      <x:c r="AD19" s="189" t="n">
        <x:f>CHOOSE('Scenario Inputs'!$C$19,'Assumptions'!$D$8,'Assumptions'!$E$8)-AD18</x:f>
        <x:v>122000.00000000023</x:v>
      </x:c>
      <x:c r="AE19" s="189" t="n">
        <x:f>CHOOSE('Scenario Inputs'!$C$19,'Assumptions'!$D$8,'Assumptions'!$E$8)-AE18</x:f>
        <x:v>22000.000000000233</x:v>
      </x:c>
      <x:c r="AF19" s="189" t="n">
        <x:f>CHOOSE('Scenario Inputs'!$C$19,'Assumptions'!$D$8,'Assumptions'!$E$8)-AF18</x:f>
        <x:v>-77999.99999999977</x:v>
      </x:c>
      <x:c r="AG19" s="189" t="n">
        <x:f>CHOOSE('Scenario Inputs'!$C$19,'Assumptions'!$D$8,'Assumptions'!$E$8)-AG18</x:f>
        <x:v>-178000</x:v>
      </x:c>
      <x:c r="AH19" s="189" t="n">
        <x:f>CHOOSE('Scenario Inputs'!$C$19,'Assumptions'!$D$8,'Assumptions'!$E$8)-AH18</x:f>
        <x:v>-278000</x:v>
      </x:c>
      <x:c r="AI19" s="189" t="n">
        <x:f>CHOOSE('Scenario Inputs'!$C$19,'Assumptions'!$D$8,'Assumptions'!$E$8)-AI18</x:f>
        <x:v>-378000</x:v>
      </x:c>
      <x:c r="AJ19" s="189" t="n">
        <x:f>CHOOSE('Scenario Inputs'!$C$19,'Assumptions'!$D$8,'Assumptions'!$E$8)-AJ18</x:f>
        <x:v>-478000</x:v>
      </x:c>
      <x:c r="AK19" s="189" t="n">
        <x:f>CHOOSE('Scenario Inputs'!$C$19,'Assumptions'!$D$8,'Assumptions'!$E$8)-AK18</x:f>
        <x:v>-578000</x:v>
      </x:c>
      <x:c r="AL19" s="189" t="n">
        <x:f>CHOOSE('Scenario Inputs'!$C$19,'Assumptions'!$D$8,'Assumptions'!$E$8)-AL18</x:f>
        <x:v>-678000</x:v>
      </x:c>
    </x:row>
    <x:row r="20" s="4" customFormat="1" ht="32" customHeight="1">
      <x:c r="B20" s="182" t="inlineStr">
        <x:is>
          <x:t xml:space="preserve">Milestone</x:t>
        </x:is>
      </x:c>
      <x:c r="C20" s="193" t="str">
        <x:v>Foundation</x:v>
      </x:c>
      <x:c r="D20" s="194" t="str">
        <x:v>Foundation</x:v>
      </x:c>
      <x:c r="E20" s="194" t="str">
        <x:v>Foundation</x:v>
      </x:c>
      <x:c r="F20" s="194" t="str">
        <x:v>Foundation</x:v>
      </x:c>
      <x:c r="G20" s="194" t="str">
        <x:v>Foundation</x:v>
      </x:c>
      <x:c r="H20" s="194" t="str">
        <x:v>Foundation</x:v>
      </x:c>
      <x:c r="I20" s="194" t="str">
        <x:v>Paid pilot validation</x:v>
      </x:c>
      <x:c r="J20" s="194" t="str">
        <x:v>Paid pilot validation</x:v>
      </x:c>
      <x:c r="K20" s="194" t="str">
        <x:v>Paid pilot validation</x:v>
      </x:c>
      <x:c r="L20" s="194" t="str">
        <x:v>Paid pilot validation</x:v>
      </x:c>
      <x:c r="M20" s="194" t="str">
        <x:v>Paid pilot validation</x:v>
      </x:c>
      <x:c r="N20" s="194" t="str">
        <x:v>Paid pilot validation</x:v>
      </x:c>
      <x:c r="O20" s="194" t="str">
        <x:v>Repeatability</x:v>
      </x:c>
      <x:c r="P20" s="194" t="str">
        <x:v>Repeatability</x:v>
      </x:c>
      <x:c r="Q20" s="194" t="str">
        <x:v>Repeatability</x:v>
      </x:c>
      <x:c r="R20" s="194" t="str">
        <x:v>Repeatability</x:v>
      </x:c>
      <x:c r="S20" s="194" t="str">
        <x:v>Repeatability</x:v>
      </x:c>
      <x:c r="T20" s="194" t="str">
        <x:v>Repeatability</x:v>
      </x:c>
      <x:c r="U20" s="194" t="str">
        <x:v>Seed evidence</x:v>
      </x:c>
      <x:c r="V20" s="194" t="str">
        <x:v>Seed evidence</x:v>
      </x:c>
      <x:c r="W20" s="194" t="str">
        <x:v>Seed evidence</x:v>
      </x:c>
      <x:c r="X20" s="194" t="str">
        <x:v>Seed evidence</x:v>
      </x:c>
      <x:c r="Y20" s="194" t="str">
        <x:v>Seed evidence</x:v>
      </x:c>
      <x:c r="Z20" s="195" t="str">
        <x:v>Seed evidence</x:v>
      </x:c>
      <x:c r="AA20" s="189" t="str">
        <x:v>Conditional scale</x:v>
      </x:c>
      <x:c r="AB20" s="189" t="str">
        <x:v>Conditional scale</x:v>
      </x:c>
      <x:c r="AC20" s="189" t="str">
        <x:v>Conditional scale</x:v>
      </x:c>
      <x:c r="AD20" s="189" t="str">
        <x:v>Conditional scale</x:v>
      </x:c>
      <x:c r="AE20" s="189" t="str">
        <x:v>Conditional scale</x:v>
      </x:c>
      <x:c r="AF20" s="189" t="str">
        <x:v>Conditional scale</x:v>
      </x:c>
      <x:c r="AG20" s="189" t="str">
        <x:v>Conditional scale</x:v>
      </x:c>
      <x:c r="AH20" s="189" t="str">
        <x:v>Conditional scale</x:v>
      </x:c>
      <x:c r="AI20" s="189" t="str">
        <x:v>Conditional scale</x:v>
      </x:c>
      <x:c r="AJ20" s="189" t="str">
        <x:v>Conditional scale</x:v>
      </x:c>
      <x:c r="AK20" s="189" t="str">
        <x:v>Conditional scale</x:v>
      </x:c>
      <x:c r="AL20" s="189" t="str">
        <x:v>Conditional scale</x:v>
      </x:c>
    </x:row>
    <x:row r="21" s="4" customFormat="1" ht="32" customHeight="1">
      <x:c r="B21" s="182" t="inlineStr">
        <x:is>
          <x:t xml:space="preserve">Notes</x:t>
        </x:is>
      </x:c>
      <x:c r="C21" s="193" t="str">
        <x:v>Dates are planning assumptions; release only after documented approval.</x:v>
      </x:c>
      <x:c r="D21" s="194" t="str">
        <x:v>Dates are planning assumptions; release only after documented approval.</x:v>
      </x:c>
      <x:c r="E21" s="194" t="str">
        <x:v>Dates are planning assumptions; release only after documented approval.</x:v>
      </x:c>
      <x:c r="F21" s="194" t="str">
        <x:v>Dates are planning assumptions; release only after documented approval.</x:v>
      </x:c>
      <x:c r="G21" s="194" t="str">
        <x:v>Dates are planning assumptions; release only after documented approval.</x:v>
      </x:c>
      <x:c r="H21" s="194" t="str">
        <x:v>Dates are planning assumptions; release only after documented approval.</x:v>
      </x:c>
      <x:c r="I21" s="194" t="str">
        <x:v>Dates are planning assumptions; release only after documented approval.</x:v>
      </x:c>
      <x:c r="J21" s="194" t="str">
        <x:v>Dates are planning assumptions; release only after documented approval.</x:v>
      </x:c>
      <x:c r="K21" s="194" t="str">
        <x:v>Dates are planning assumptions; release only after documented approval.</x:v>
      </x:c>
      <x:c r="L21" s="194" t="str">
        <x:v>Dates are planning assumptions; release only after documented approval.</x:v>
      </x:c>
      <x:c r="M21" s="194" t="str">
        <x:v>Dates are planning assumptions; release only after documented approval.</x:v>
      </x:c>
      <x:c r="N21" s="194" t="str">
        <x:v>Dates are planning assumptions; release only after documented approval.</x:v>
      </x:c>
      <x:c r="O21" s="194" t="str">
        <x:v>Dates are planning assumptions; release only after documented approval.</x:v>
      </x:c>
      <x:c r="P21" s="194" t="str">
        <x:v>Dates are planning assumptions; release only after documented approval.</x:v>
      </x:c>
      <x:c r="Q21" s="194" t="str">
        <x:v>Dates are planning assumptions; release only after documented approval.</x:v>
      </x:c>
      <x:c r="R21" s="194" t="str">
        <x:v>Dates are planning assumptions; release only after documented approval.</x:v>
      </x:c>
      <x:c r="S21" s="194" t="str">
        <x:v>Dates are planning assumptions; release only after documented approval.</x:v>
      </x:c>
      <x:c r="T21" s="194" t="str">
        <x:v>Dates are planning assumptions; release only after documented approval.</x:v>
      </x:c>
      <x:c r="U21" s="194" t="str">
        <x:v>Dates are planning assumptions; release only after documented approval.</x:v>
      </x:c>
      <x:c r="V21" s="194" t="str">
        <x:v>Dates are planning assumptions; release only after documented approval.</x:v>
      </x:c>
      <x:c r="W21" s="194" t="str">
        <x:v>Dates are planning assumptions; release only after documented approval.</x:v>
      </x:c>
      <x:c r="X21" s="194" t="str">
        <x:v>Dates are planning assumptions; release only after documented approval.</x:v>
      </x:c>
      <x:c r="Y21" s="194" t="str">
        <x:v>Dates are planning assumptions; release only after documented approval.</x:v>
      </x:c>
      <x:c r="Z21" s="195" t="str">
        <x:v>Dates are planning assumptions; release only after documented approval.</x:v>
      </x:c>
      <x:c r="AA21" s="189" t="str">
        <x:v>Dates are planning assumptions; release only after documented approval.</x:v>
      </x:c>
      <x:c r="AB21" s="189" t="str">
        <x:v>Dates are planning assumptions; release only after documented approval.</x:v>
      </x:c>
      <x:c r="AC21" s="189" t="str">
        <x:v>Dates are planning assumptions; release only after documented approval.</x:v>
      </x:c>
      <x:c r="AD21" s="189" t="str">
        <x:v>Dates are planning assumptions; release only after documented approval.</x:v>
      </x:c>
      <x:c r="AE21" s="189" t="str">
        <x:v>Dates are planning assumptions; release only after documented approval.</x:v>
      </x:c>
      <x:c r="AF21" s="189" t="str">
        <x:v>Dates are planning assumptions; release only after documented approval.</x:v>
      </x:c>
      <x:c r="AG21" s="189" t="str">
        <x:v>Dates are planning assumptions; release only after documented approval.</x:v>
      </x:c>
      <x:c r="AH21" s="189" t="str">
        <x:v>Dates are planning assumptions; release only after documented approval.</x:v>
      </x:c>
      <x:c r="AI21" s="189" t="str">
        <x:v>Dates are planning assumptions; release only after documented approval.</x:v>
      </x:c>
      <x:c r="AJ21" s="189" t="str">
        <x:v>Dates are planning assumptions; release only after documented approval.</x:v>
      </x:c>
      <x:c r="AK21" s="189" t="str">
        <x:v>Dates are planning assumptions; release only after documented approval.</x:v>
      </x:c>
      <x:c r="AL21" s="189" t="str">
        <x:v>Dates are planning assumptions; release only after documented approval.</x:v>
      </x:c>
    </x:row>
    <x:row r="22" s="4" customFormat="1" ht="32" customHeight="1">
      <x:c r="B22" s="182" t="str"/>
      <x:c r="C22" s="196" t="n"/>
      <x:c r="D22" s="197" t="n"/>
      <x:c r="E22" s="197" t="n"/>
      <x:c r="F22" s="197" t="n"/>
      <x:c r="G22" s="197" t="n"/>
      <x:c r="H22" s="197" t="n"/>
      <x:c r="I22" s="197" t="n"/>
      <x:c r="J22" s="197" t="n"/>
      <x:c r="K22" s="197" t="n"/>
      <x:c r="L22" s="197" t="n"/>
      <x:c r="M22" s="197" t="n"/>
      <x:c r="N22" s="197" t="n"/>
      <x:c r="O22" s="197" t="n"/>
      <x:c r="P22" s="197" t="n"/>
      <x:c r="Q22" s="197" t="n"/>
      <x:c r="R22" s="197" t="n"/>
      <x:c r="S22" s="197" t="n"/>
      <x:c r="T22" s="197" t="n"/>
      <x:c r="U22" s="197" t="n"/>
      <x:c r="V22" s="197" t="n"/>
      <x:c r="W22" s="197" t="n"/>
      <x:c r="X22" s="197" t="n"/>
      <x:c r="Y22" s="197" t="n"/>
      <x:c r="Z22" s="198" t="n"/>
      <x:c r="AA22" s="189"/>
      <x:c r="AB22" s="189"/>
      <x:c r="AC22" s="189"/>
      <x:c r="AD22" s="189"/>
      <x:c r="AE22" s="189"/>
      <x:c r="AF22" s="189"/>
      <x:c r="AG22" s="189"/>
      <x:c r="AH22" s="189"/>
      <x:c r="AI22" s="189"/>
      <x:c r="AJ22" s="189"/>
      <x:c r="AK22" s="189"/>
      <x:c r="AL22" s="189"/>
    </x:row>
    <x:row r="23" ht="32" customHeight="1">
      <x:c r="B23" s="118"/>
      <x:c r="C23" s="189"/>
      <x:c r="D23" s="189"/>
      <x:c r="E23" s="189"/>
      <x:c r="F23" s="189"/>
      <x:c r="G23" s="189"/>
      <x:c r="H23" s="189"/>
      <x:c r="I23" s="189"/>
      <x:c r="J23" s="189"/>
      <x:c r="K23" s="189"/>
      <x:c r="L23" s="189"/>
      <x:c r="M23" s="189"/>
      <x:c r="N23" s="189"/>
      <x:c r="O23" s="189"/>
      <x:c r="P23" s="189"/>
      <x:c r="Q23" s="189"/>
      <x:c r="R23" s="189"/>
      <x:c r="S23" s="189"/>
      <x:c r="T23" s="189"/>
      <x:c r="U23" s="189"/>
      <x:c r="V23" s="189"/>
      <x:c r="W23" s="189"/>
      <x:c r="X23" s="189"/>
      <x:c r="Y23" s="189"/>
      <x:c r="Z23" s="189"/>
      <x:c r="AA23" s="189"/>
      <x:c r="AB23" s="189"/>
      <x:c r="AC23" s="189"/>
      <x:c r="AD23" s="189"/>
      <x:c r="AE23" s="189"/>
      <x:c r="AF23" s="189"/>
      <x:c r="AG23" s="189"/>
      <x:c r="AH23" s="189"/>
      <x:c r="AI23" s="189"/>
      <x:c r="AJ23" s="189"/>
      <x:c r="AK23" s="189"/>
      <x:c r="AL23" s="189"/>
    </x:row>
    <x:row r="24" ht="32" customHeight="1">
      <x:c r="B24" s="118" t="str">
        <x:v>Customer cash collected</x:v>
      </x:c>
      <x:c r="C24" s="189" t="n">
        <x:f>'Monthly Revenue'!C25</x:f>
        <x:v>0</x:v>
      </x:c>
      <x:c r="D24" s="189" t="n">
        <x:f>'Monthly Revenue'!D25</x:f>
        <x:v>0</x:v>
      </x:c>
      <x:c r="E24" s="189" t="n">
        <x:f>'Monthly Revenue'!E25</x:f>
        <x:v>0</x:v>
      </x:c>
      <x:c r="F24" s="189" t="n">
        <x:f>'Monthly Revenue'!F25</x:f>
        <x:v>0</x:v>
      </x:c>
      <x:c r="G24" s="189" t="n">
        <x:f>'Monthly Revenue'!G25</x:f>
        <x:v>0</x:v>
      </x:c>
      <x:c r="H24" s="189" t="n">
        <x:f>'Monthly Revenue'!H25</x:f>
        <x:v>0</x:v>
      </x:c>
      <x:c r="I24" s="189" t="n">
        <x:f>'Monthly Revenue'!I25</x:f>
        <x:v>0</x:v>
      </x:c>
      <x:c r="J24" s="189" t="n">
        <x:f>'Monthly Revenue'!J25</x:f>
        <x:v>18990</x:v>
      </x:c>
      <x:c r="K24" s="189" t="n">
        <x:f>'Monthly Revenue'!K25</x:f>
        <x:v>4980</x:v>
      </x:c>
      <x:c r="L24" s="189" t="n">
        <x:f>'Monthly Revenue'!L25</x:f>
        <x:v>5970</x:v>
      </x:c>
      <x:c r="M24" s="189" t="n">
        <x:f>'Monthly Revenue'!M25</x:f>
        <x:v>26460</x:v>
      </x:c>
      <x:c r="N24" s="189" t="n">
        <x:f>'Monthly Revenue'!N25</x:f>
        <x:v>12450</x:v>
      </x:c>
      <x:c r="O24" s="189" t="n">
        <x:f>'Monthly Revenue'!O25</x:f>
        <x:v>12450</x:v>
      </x:c>
      <x:c r="P24" s="189" t="n">
        <x:f>'Monthly Revenue'!P25</x:f>
        <x:v>16190</x:v>
      </x:c>
      <x:c r="Q24" s="189" t="n">
        <x:f>'Monthly Revenue'!Q25</x:f>
        <x:v>16055</x:v>
      </x:c>
      <x:c r="R24" s="189" t="n">
        <x:f>'Monthly Revenue'!R25</x:f>
        <x:v>37170</x:v>
      </x:c>
      <x:c r="S24" s="189" t="n">
        <x:f>'Monthly Revenue'!S25</x:f>
        <x:v>23160</x:v>
      </x:c>
      <x:c r="T24" s="189" t="n">
        <x:f>'Monthly Revenue'!T25</x:f>
        <x:v>23025</x:v>
      </x:c>
      <x:c r="U24" s="189" t="n">
        <x:f>'Monthly Revenue'!U25</x:f>
        <x:v>24150</x:v>
      </x:c>
      <x:c r="V24" s="189" t="n">
        <x:f>'Monthly Revenue'!V25</x:f>
        <x:v>25140</x:v>
      </x:c>
      <x:c r="W24" s="189" t="n">
        <x:f>'Monthly Revenue'!W25</x:f>
        <x:v>25005</x:v>
      </x:c>
      <x:c r="X24" s="189" t="n">
        <x:f>'Monthly Revenue'!X25</x:f>
        <x:v>46120</x:v>
      </x:c>
      <x:c r="Y24" s="189" t="n">
        <x:f>'Monthly Revenue'!Y25</x:f>
        <x:v>32110</x:v>
      </x:c>
      <x:c r="Z24" s="189" t="n">
        <x:f>'Monthly Revenue'!Z25</x:f>
        <x:v>31975</x:v>
      </x:c>
      <x:c r="AA24" s="189" t="n">
        <x:f>'Monthly Revenue'!AA25</x:f>
        <x:v>33100</x:v>
      </x:c>
      <x:c r="AB24" s="189" t="n">
        <x:f>'Monthly Revenue'!AB25</x:f>
        <x:v>44330</x:v>
      </x:c>
      <x:c r="AC24" s="189" t="n">
        <x:f>'Monthly Revenue'!AC25</x:f>
        <x:v>46310</x:v>
      </x:c>
      <x:c r="AD24" s="189" t="n">
        <x:f>'Monthly Revenue'!AD25</x:f>
        <x:v>68290</x:v>
      </x:c>
      <x:c r="AE24" s="189" t="n">
        <x:f>'Monthly Revenue'!AE25</x:f>
        <x:v>55270</x:v>
      </x:c>
      <x:c r="AF24" s="189" t="n">
        <x:f>'Monthly Revenue'!AF25</x:f>
        <x:v>57250</x:v>
      </x:c>
      <x:c r="AG24" s="189" t="n">
        <x:f>'Monthly Revenue'!AG25</x:f>
        <x:v>79230</x:v>
      </x:c>
      <x:c r="AH24" s="189" t="n">
        <x:f>'Monthly Revenue'!AH25</x:f>
        <x:v>66210</x:v>
      </x:c>
      <x:c r="AI24" s="189" t="n">
        <x:f>'Monthly Revenue'!AI25</x:f>
        <x:v>68190</x:v>
      </x:c>
      <x:c r="AJ24" s="189" t="n">
        <x:f>'Monthly Revenue'!AJ25</x:f>
        <x:v>90170</x:v>
      </x:c>
      <x:c r="AK24" s="189" t="n">
        <x:f>'Monthly Revenue'!AK25</x:f>
        <x:v>77150</x:v>
      </x:c>
      <x:c r="AL24" s="189" t="n">
        <x:f>'Monthly Revenue'!AL25</x:f>
        <x:v>79130</x:v>
      </x:c>
    </x:row>
    <x:row r="25" ht="32" customHeight="1">
      <x:c r="B25" s="118" t="str">
        <x:v>Incremental delivery cash provision</x:v>
      </x:c>
      <x:c r="C25" s="189" t="n">
        <x:f>'Monthly Revenue'!C21</x:f>
        <x:v>0</x:v>
      </x:c>
      <x:c r="D25" s="189" t="n">
        <x:f>'Monthly Revenue'!D21</x:f>
        <x:v>0</x:v>
      </x:c>
      <x:c r="E25" s="189" t="n">
        <x:f>'Monthly Revenue'!E21</x:f>
        <x:v>0</x:v>
      </x:c>
      <x:c r="F25" s="189" t="n">
        <x:f>'Monthly Revenue'!F21</x:f>
        <x:v>0</x:v>
      </x:c>
      <x:c r="G25" s="189" t="n">
        <x:f>'Monthly Revenue'!G21</x:f>
        <x:v>0</x:v>
      </x:c>
      <x:c r="H25" s="189" t="n">
        <x:f>'Monthly Revenue'!H21</x:f>
        <x:v>0</x:v>
      </x:c>
      <x:c r="I25" s="189" t="n">
        <x:f>'Monthly Revenue'!I21</x:f>
        <x:v>8545.5</x:v>
      </x:c>
      <x:c r="J25" s="189" t="n">
        <x:f>'Monthly Revenue'!J21</x:f>
        <x:v>2241</x:v>
      </x:c>
      <x:c r="K25" s="189" t="n">
        <x:f>'Monthly Revenue'!K21</x:f>
        <x:v>2686.5</x:v>
      </x:c>
      <x:c r="L25" s="189" t="n">
        <x:f>'Monthly Revenue'!L21</x:f>
        <x:v>11907</x:v>
      </x:c>
      <x:c r="M25" s="189" t="n">
        <x:f>'Monthly Revenue'!M21</x:f>
        <x:v>5602.5</x:v>
      </x:c>
      <x:c r="N25" s="189" t="n">
        <x:f>'Monthly Revenue'!N21</x:f>
        <x:v>5602.5</x:v>
      </x:c>
      <x:c r="O25" s="189" t="n">
        <x:f>'Monthly Revenue'!O21</x:f>
        <x:v>6476</x:v>
      </x:c>
      <x:c r="P25" s="189" t="n">
        <x:f>'Monthly Revenue'!P21</x:f>
        <x:v>6422</x:v>
      </x:c>
      <x:c r="Q25" s="189" t="n">
        <x:f>'Monthly Revenue'!Q21</x:f>
        <x:v>14868</x:v>
      </x:c>
      <x:c r="R25" s="189" t="n">
        <x:f>'Monthly Revenue'!R21</x:f>
        <x:v>9264</x:v>
      </x:c>
      <x:c r="S25" s="189" t="n">
        <x:f>'Monthly Revenue'!S21</x:f>
        <x:v>9210</x:v>
      </x:c>
      <x:c r="T25" s="189" t="n">
        <x:f>'Monthly Revenue'!T21</x:f>
        <x:v>9660</x:v>
      </x:c>
      <x:c r="U25" s="189" t="n">
        <x:f>'Monthly Revenue'!U21</x:f>
        <x:v>10056</x:v>
      </x:c>
      <x:c r="V25" s="189" t="n">
        <x:f>'Monthly Revenue'!V21</x:f>
        <x:v>10002</x:v>
      </x:c>
      <x:c r="W25" s="189" t="n">
        <x:f>'Monthly Revenue'!W21</x:f>
        <x:v>18448</x:v>
      </x:c>
      <x:c r="X25" s="189" t="n">
        <x:f>'Monthly Revenue'!X21</x:f>
        <x:v>12844</x:v>
      </x:c>
      <x:c r="Y25" s="189" t="n">
        <x:f>'Monthly Revenue'!Y21</x:f>
        <x:v>12790</x:v>
      </x:c>
      <x:c r="Z25" s="189" t="n">
        <x:f>'Monthly Revenue'!Z21</x:f>
        <x:v>13240</x:v>
      </x:c>
      <x:c r="AA25" s="189" t="n">
        <x:f>'Monthly Revenue'!AA21</x:f>
        <x:v>15515.499999999998</x:v>
      </x:c>
      <x:c r="AB25" s="189" t="n">
        <x:f>'Monthly Revenue'!AB21</x:f>
        <x:v>16208.499999999998</x:v>
      </x:c>
      <x:c r="AC25" s="189" t="n">
        <x:f>'Monthly Revenue'!AC21</x:f>
        <x:v>23901.5</x:v>
      </x:c>
      <x:c r="AD25" s="189" t="n">
        <x:f>'Monthly Revenue'!AD21</x:f>
        <x:v>19344.5</x:v>
      </x:c>
      <x:c r="AE25" s="189" t="n">
        <x:f>'Monthly Revenue'!AE21</x:f>
        <x:v>20037.5</x:v>
      </x:c>
      <x:c r="AF25" s="189" t="n">
        <x:f>'Monthly Revenue'!AF21</x:f>
        <x:v>27730.5</x:v>
      </x:c>
      <x:c r="AG25" s="189" t="n">
        <x:f>'Monthly Revenue'!AG21</x:f>
        <x:v>23173.5</x:v>
      </x:c>
      <x:c r="AH25" s="189" t="n">
        <x:f>'Monthly Revenue'!AH21</x:f>
        <x:v>23866.5</x:v>
      </x:c>
      <x:c r="AI25" s="189" t="n">
        <x:f>'Monthly Revenue'!AI21</x:f>
        <x:v>31559.499999999996</x:v>
      </x:c>
      <x:c r="AJ25" s="189" t="n">
        <x:f>'Monthly Revenue'!AJ21</x:f>
        <x:v>27002.5</x:v>
      </x:c>
      <x:c r="AK25" s="189" t="n">
        <x:f>'Monthly Revenue'!AK21</x:f>
        <x:v>27695.5</x:v>
      </x:c>
      <x:c r="AL25" s="189" t="n">
        <x:f>'Monthly Revenue'!AL21</x:f>
        <x:v>35735</x:v>
      </x:c>
    </x:row>
    <x:row r="26" ht="32" customHeight="1">
      <x:c r="B26" s="118" t="str">
        <x:v>Tax / other cash allowance</x:v>
      </x:c>
      <x:c r="C26" s="189" t="n">
        <x:f>'Scenario Inputs'!$C$26</x:f>
        <x:v>0</x:v>
      </x:c>
      <x:c r="D26" s="189" t="n">
        <x:f>'Scenario Inputs'!$C$26</x:f>
        <x:v>0</x:v>
      </x:c>
      <x:c r="E26" s="189" t="n">
        <x:f>'Scenario Inputs'!$C$26</x:f>
        <x:v>0</x:v>
      </x:c>
      <x:c r="F26" s="189" t="n">
        <x:f>'Scenario Inputs'!$C$26</x:f>
        <x:v>0</x:v>
      </x:c>
      <x:c r="G26" s="189" t="n">
        <x:f>'Scenario Inputs'!$C$26</x:f>
        <x:v>0</x:v>
      </x:c>
      <x:c r="H26" s="189" t="n">
        <x:f>'Scenario Inputs'!$C$26</x:f>
        <x:v>0</x:v>
      </x:c>
      <x:c r="I26" s="189" t="n">
        <x:f>'Scenario Inputs'!$C$26</x:f>
        <x:v>0</x:v>
      </x:c>
      <x:c r="J26" s="189" t="n">
        <x:f>'Scenario Inputs'!$C$26</x:f>
        <x:v>0</x:v>
      </x:c>
      <x:c r="K26" s="189" t="n">
        <x:f>'Scenario Inputs'!$C$26</x:f>
        <x:v>0</x:v>
      </x:c>
      <x:c r="L26" s="189" t="n">
        <x:f>'Scenario Inputs'!$C$26</x:f>
        <x:v>0</x:v>
      </x:c>
      <x:c r="M26" s="189" t="n">
        <x:f>'Scenario Inputs'!$C$26</x:f>
        <x:v>0</x:v>
      </x:c>
      <x:c r="N26" s="189" t="n">
        <x:f>'Scenario Inputs'!$C$26</x:f>
        <x:v>0</x:v>
      </x:c>
      <x:c r="O26" s="189" t="n">
        <x:f>'Scenario Inputs'!$C$26</x:f>
        <x:v>0</x:v>
      </x:c>
      <x:c r="P26" s="189" t="n">
        <x:f>'Scenario Inputs'!$C$26</x:f>
        <x:v>0</x:v>
      </x:c>
      <x:c r="Q26" s="189" t="n">
        <x:f>'Scenario Inputs'!$C$26</x:f>
        <x:v>0</x:v>
      </x:c>
      <x:c r="R26" s="189" t="n">
        <x:f>'Scenario Inputs'!$C$26</x:f>
        <x:v>0</x:v>
      </x:c>
      <x:c r="S26" s="189" t="n">
        <x:f>'Scenario Inputs'!$C$26</x:f>
        <x:v>0</x:v>
      </x:c>
      <x:c r="T26" s="189" t="n">
        <x:f>'Scenario Inputs'!$C$26</x:f>
        <x:v>0</x:v>
      </x:c>
      <x:c r="U26" s="189" t="n">
        <x:f>'Scenario Inputs'!$C$26</x:f>
        <x:v>0</x:v>
      </x:c>
      <x:c r="V26" s="189" t="n">
        <x:f>'Scenario Inputs'!$C$26</x:f>
        <x:v>0</x:v>
      </x:c>
      <x:c r="W26" s="189" t="n">
        <x:f>'Scenario Inputs'!$C$26</x:f>
        <x:v>0</x:v>
      </x:c>
      <x:c r="X26" s="189" t="n">
        <x:f>'Scenario Inputs'!$C$26</x:f>
        <x:v>0</x:v>
      </x:c>
      <x:c r="Y26" s="189" t="n">
        <x:f>'Scenario Inputs'!$C$26</x:f>
        <x:v>0</x:v>
      </x:c>
      <x:c r="Z26" s="189" t="n">
        <x:f>'Scenario Inputs'!$C$26</x:f>
        <x:v>0</x:v>
      </x:c>
      <x:c r="AA26" s="189" t="n">
        <x:f>'Scenario Inputs'!$C$26</x:f>
        <x:v>0</x:v>
      </x:c>
      <x:c r="AB26" s="189" t="n">
        <x:f>'Scenario Inputs'!$C$26</x:f>
        <x:v>0</x:v>
      </x:c>
      <x:c r="AC26" s="189" t="n">
        <x:f>'Scenario Inputs'!$C$26</x:f>
        <x:v>0</x:v>
      </x:c>
      <x:c r="AD26" s="189" t="n">
        <x:f>'Scenario Inputs'!$C$26</x:f>
        <x:v>0</x:v>
      </x:c>
      <x:c r="AE26" s="189" t="n">
        <x:f>'Scenario Inputs'!$C$26</x:f>
        <x:v>0</x:v>
      </x:c>
      <x:c r="AF26" s="189" t="n">
        <x:f>'Scenario Inputs'!$C$26</x:f>
        <x:v>0</x:v>
      </x:c>
      <x:c r="AG26" s="189" t="n">
        <x:f>'Scenario Inputs'!$C$26</x:f>
        <x:v>0</x:v>
      </x:c>
      <x:c r="AH26" s="189" t="n">
        <x:f>'Scenario Inputs'!$C$26</x:f>
        <x:v>0</x:v>
      </x:c>
      <x:c r="AI26" s="189" t="n">
        <x:f>'Scenario Inputs'!$C$26</x:f>
        <x:v>0</x:v>
      </x:c>
      <x:c r="AJ26" s="189" t="n">
        <x:f>'Scenario Inputs'!$C$26</x:f>
        <x:v>0</x:v>
      </x:c>
      <x:c r="AK26" s="189" t="n">
        <x:f>'Scenario Inputs'!$C$26</x:f>
        <x:v>0</x:v>
      </x:c>
      <x:c r="AL26" s="189" t="n">
        <x:f>'Scenario Inputs'!$C$26</x:f>
        <x:v>0</x:v>
      </x:c>
    </x:row>
    <x:row r="27" ht="32" customHeight="1">
      <x:c r="B27" s="118" t="str">
        <x:v>Net cash change</x:v>
      </x:c>
      <x:c r="C27" s="189" t="n">
        <x:f>C24-C17-C25-C26</x:f>
        <x:v>-61083</x:v>
      </x:c>
      <x:c r="D27" s="189" t="n">
        <x:f>D24-D17-D25-D26</x:f>
        <x:v>-55083</x:v>
      </x:c>
      <x:c r="E27" s="189" t="n">
        <x:f>E24-E17-E25-E26</x:f>
        <x:v>-59583</x:v>
      </x:c>
      <x:c r="F27" s="189" t="n">
        <x:f>F24-F17-F25-F26</x:f>
        <x:v>-72583</x:v>
      </x:c>
      <x:c r="G27" s="189" t="n">
        <x:f>G24-G17-G25-G26</x:f>
        <x:v>-64583</x:v>
      </x:c>
      <x:c r="H27" s="189" t="n">
        <x:f>H24-H17-H25-H26</x:f>
        <x:v>-64583</x:v>
      </x:c>
      <x:c r="I27" s="189" t="n">
        <x:f>I24-I17-I25-I26</x:f>
        <x:v>-70794.83333333334</x:v>
      </x:c>
      <x:c r="J27" s="189" t="n">
        <x:f>J24-J17-J25-J26</x:f>
        <x:v>-37500.333333333336</x:v>
      </x:c>
      <x:c r="K27" s="189" t="n">
        <x:f>K24-K17-K25-K26</x:f>
        <x:v>-51955.833333333336</x:v>
      </x:c>
      <x:c r="L27" s="189" t="n">
        <x:f>L24-L17-L25-L26</x:f>
        <x:v>-68186.33333333334</x:v>
      </x:c>
      <x:c r="M27" s="189" t="n">
        <x:f>M24-M17-M25-M26</x:f>
        <x:v>-33391.833333333336</x:v>
      </x:c>
      <x:c r="N27" s="189" t="n">
        <x:f>N24-N17-N25-N26</x:f>
        <x:v>-47401.833333333336</x:v>
      </x:c>
      <x:c r="O27" s="189" t="n">
        <x:f>O24-O17-O25-O26</x:f>
        <x:v>-62609.33333333334</x:v>
      </x:c>
      <x:c r="P27" s="189" t="n">
        <x:f>P24-P17-P25-P26</x:f>
        <x:v>-50815.333333333336</x:v>
      </x:c>
      <x:c r="Q27" s="189" t="n">
        <x:f>Q24-Q17-Q25-Q26</x:f>
        <x:v>-59396.333333333336</x:v>
      </x:c>
      <x:c r="R27" s="189" t="n">
        <x:f>R24-R17-R25-R26</x:f>
        <x:v>-40677.33333333334</x:v>
      </x:c>
      <x:c r="S27" s="189" t="n">
        <x:f>S24-S17-S25-S26</x:f>
        <x:v>-46633.333333333336</x:v>
      </x:c>
      <x:c r="T27" s="189" t="n">
        <x:f>T24-T17-T25-T26</x:f>
        <x:v>-47218.333333333336</x:v>
      </x:c>
      <x:c r="U27" s="189" t="n">
        <x:f>U24-U17-U25-U26</x:f>
        <x:v>-49489.333333333336</x:v>
      </x:c>
      <x:c r="V27" s="189" t="n">
        <x:f>V24-V17-V25-V26</x:f>
        <x:v>-48445.333333333336</x:v>
      </x:c>
      <x:c r="W27" s="189" t="n">
        <x:f>W24-W17-W25-W26</x:f>
        <x:v>-57026.333333333336</x:v>
      </x:c>
      <x:c r="X27" s="189" t="n">
        <x:f>X24-X17-X25-X26</x:f>
        <x:v>-30307.333333333336</x:v>
      </x:c>
      <x:c r="Y27" s="189" t="n">
        <x:f>Y24-Y17-Y25-Y26</x:f>
        <x:v>-44263.333333333336</x:v>
      </x:c>
      <x:c r="Z27" s="189" t="n">
        <x:f>Z24-Z17-Z25-Z26</x:f>
        <x:v>-42854.333333333336</x:v>
      </x:c>
      <x:c r="AA27" s="189" t="n">
        <x:f>AA24-AA17-AA25-AA26</x:f>
        <x:v>-82415.5</x:v>
      </x:c>
      <x:c r="AB27" s="189" t="n">
        <x:f>AB24-AB17-AB25-AB26</x:f>
        <x:v>-71878.5</x:v>
      </x:c>
      <x:c r="AC27" s="189" t="n">
        <x:f>AC24-AC17-AC25-AC26</x:f>
        <x:v>-77591.5</x:v>
      </x:c>
      <x:c r="AD27" s="189" t="n">
        <x:f>AD24-AD17-AD25-AD26</x:f>
        <x:v>-51054.5</x:v>
      </x:c>
      <x:c r="AE27" s="189" t="n">
        <x:f>AE24-AE17-AE25-AE26</x:f>
        <x:v>-64767.5</x:v>
      </x:c>
      <x:c r="AF27" s="189" t="n">
        <x:f>AF24-AF17-AF25-AF26</x:f>
        <x:v>-70480.5</x:v>
      </x:c>
      <x:c r="AG27" s="189" t="n">
        <x:f>AG24-AG17-AG25-AG26</x:f>
        <x:v>-43943.5</x:v>
      </x:c>
      <x:c r="AH27" s="189" t="n">
        <x:f>AH24-AH17-AH25-AH26</x:f>
        <x:v>-57656.5</x:v>
      </x:c>
      <x:c r="AI27" s="189" t="n">
        <x:f>AI24-AI17-AI25-AI26</x:f>
        <x:v>-63369.5</x:v>
      </x:c>
      <x:c r="AJ27" s="189" t="n">
        <x:f>AJ24-AJ17-AJ25-AJ26</x:f>
        <x:v>-36832.5</x:v>
      </x:c>
      <x:c r="AK27" s="189" t="n">
        <x:f>AK24-AK17-AK25-AK26</x:f>
        <x:v>-50545.5</x:v>
      </x:c>
      <x:c r="AL27" s="189" t="n">
        <x:f>AL24-AL17-AL25-AL26</x:f>
        <x:v>-56605</x:v>
      </x:c>
    </x:row>
    <x:row r="28" ht="32" customHeight="1">
      <x:c r="B28" s="118" t="str">
        <x:v>Ending pre-tax cash</x:v>
      </x:c>
      <x:c r="C28" s="189" t="n">
        <x:f>CHOOSE('Scenario Inputs'!$C$19,'Assumptions'!$D$8,'Assumptions'!$E$8)+C27</x:f>
        <x:v>1938917</x:v>
      </x:c>
      <x:c r="D28" s="189" t="n">
        <x:f>C28+D27</x:f>
        <x:v>1883834</x:v>
      </x:c>
      <x:c r="E28" s="189" t="n">
        <x:f>D28+E27</x:f>
        <x:v>1824251</x:v>
      </x:c>
      <x:c r="F28" s="189" t="n">
        <x:f>E28+F27</x:f>
        <x:v>1751668</x:v>
      </x:c>
      <x:c r="G28" s="189" t="n">
        <x:f>F28+G27</x:f>
        <x:v>1687085</x:v>
      </x:c>
      <x:c r="H28" s="189" t="n">
        <x:f>G28+H27</x:f>
        <x:v>1622502</x:v>
      </x:c>
      <x:c r="I28" s="189" t="n">
        <x:f>H28+I27</x:f>
        <x:v>1551707.1666666667</x:v>
      </x:c>
      <x:c r="J28" s="189" t="n">
        <x:f>I28+J27</x:f>
        <x:v>1514206.8333333335</x:v>
      </x:c>
      <x:c r="K28" s="189" t="n">
        <x:f>J28+K27</x:f>
        <x:v>1462251.0000000002</x:v>
      </x:c>
      <x:c r="L28" s="189" t="n">
        <x:f>K28+L27</x:f>
        <x:v>1394064.666666667</x:v>
      </x:c>
      <x:c r="M28" s="189" t="n">
        <x:f>L28+M27</x:f>
        <x:v>1360672.8333333337</x:v>
      </x:c>
      <x:c r="N28" s="189" t="n">
        <x:f>M28+N27</x:f>
        <x:v>1313271.0000000005</x:v>
      </x:c>
      <x:c r="O28" s="189" t="n">
        <x:f>N28+O27</x:f>
        <x:v>1250661.6666666672</x:v>
      </x:c>
      <x:c r="P28" s="189" t="n">
        <x:f>O28+P27</x:f>
        <x:v>1199846.333333334</x:v>
      </x:c>
      <x:c r="Q28" s="189" t="n">
        <x:f>P28+Q27</x:f>
        <x:v>1140450.0000000007</x:v>
      </x:c>
      <x:c r="R28" s="189" t="n">
        <x:f>Q28+R27</x:f>
        <x:v>1099772.6666666674</x:v>
      </x:c>
      <x:c r="S28" s="189" t="n">
        <x:f>R28+S27</x:f>
        <x:v>1053139.3333333342</x:v>
      </x:c>
      <x:c r="T28" s="189" t="n">
        <x:f>S28+T27</x:f>
        <x:v>1005921.0000000008</x:v>
      </x:c>
      <x:c r="U28" s="189" t="n">
        <x:f>T28+U27</x:f>
        <x:v>956431.6666666674</x:v>
      </x:c>
      <x:c r="V28" s="189" t="n">
        <x:f>U28+V27</x:f>
        <x:v>907986.3333333341</x:v>
      </x:c>
      <x:c r="W28" s="189" t="n">
        <x:f>V28+W27</x:f>
        <x:v>850960.0000000007</x:v>
      </x:c>
      <x:c r="X28" s="189" t="n">
        <x:f>W28+X27</x:f>
        <x:v>820652.6666666673</x:v>
      </x:c>
      <x:c r="Y28" s="189" t="n">
        <x:f>X28+Y27</x:f>
        <x:v>776389.333333334</x:v>
      </x:c>
      <x:c r="Z28" s="189" t="n">
        <x:f>Y28+Z27</x:f>
        <x:v>733535.0000000006</x:v>
      </x:c>
      <x:c r="AA28" s="189" t="n">
        <x:f>Z28+AA27</x:f>
        <x:v>651119.5000000006</x:v>
      </x:c>
      <x:c r="AB28" s="189" t="n">
        <x:f>AA28+AB27</x:f>
        <x:v>579241.0000000006</x:v>
      </x:c>
      <x:c r="AC28" s="189" t="n">
        <x:f>AB28+AC27</x:f>
        <x:v>501649.5000000006</x:v>
      </x:c>
      <x:c r="AD28" s="189" t="n">
        <x:f>AC28+AD27</x:f>
        <x:v>450595.0000000006</x:v>
      </x:c>
      <x:c r="AE28" s="189" t="n">
        <x:f>AD28+AE27</x:f>
        <x:v>385827.5000000006</x:v>
      </x:c>
      <x:c r="AF28" s="189" t="n">
        <x:f>AE28+AF27</x:f>
        <x:v>315347.0000000006</x:v>
      </x:c>
      <x:c r="AG28" s="189" t="n">
        <x:f>AF28+AG27</x:f>
        <x:v>271403.5000000006</x:v>
      </x:c>
      <x:c r="AH28" s="189" t="n">
        <x:f>AG28+AH27</x:f>
        <x:v>213747.00000000058</x:v>
      </x:c>
      <x:c r="AI28" s="189" t="n">
        <x:f>AH28+AI27</x:f>
        <x:v>150377.50000000058</x:v>
      </x:c>
      <x:c r="AJ28" s="189" t="n">
        <x:f>AI28+AJ27</x:f>
        <x:v>113545.00000000058</x:v>
      </x:c>
      <x:c r="AK28" s="189" t="n">
        <x:f>AJ28+AK27</x:f>
        <x:v>62999.50000000058</x:v>
      </x:c>
      <x:c r="AL28" s="189" t="n">
        <x:f>AK28+AL27</x:f>
        <x:v>6394.500000000582</x:v>
      </x:c>
    </x:row>
    <x:row r="29" ht="32" customHeight="1">
      <x:c r="B29" s="118" t="str">
        <x:v>Unquantified obligations status</x:v>
      </x:c>
      <x:c r="C29" s="118" t="str">
        <x:f>IF('Scenario Inputs'!$C$27=1,"Allowance confirmed","Pre-tax / obligations pending")</x:f>
        <x:v>Pre-tax / obligations pending</x:v>
      </x:c>
      <x:c r="D29" s="118" t="str">
        <x:f>IF('Scenario Inputs'!$C$27=1,"Allowance confirmed","Pre-tax / obligations pending")</x:f>
        <x:v>Pre-tax / obligations pending</x:v>
      </x:c>
      <x:c r="E29" s="118" t="str">
        <x:f>IF('Scenario Inputs'!$C$27=1,"Allowance confirmed","Pre-tax / obligations pending")</x:f>
        <x:v>Pre-tax / obligations pending</x:v>
      </x:c>
      <x:c r="F29" s="118" t="str">
        <x:f>IF('Scenario Inputs'!$C$27=1,"Allowance confirmed","Pre-tax / obligations pending")</x:f>
        <x:v>Pre-tax / obligations pending</x:v>
      </x:c>
      <x:c r="G29" s="118" t="str">
        <x:f>IF('Scenario Inputs'!$C$27=1,"Allowance confirmed","Pre-tax / obligations pending")</x:f>
        <x:v>Pre-tax / obligations pending</x:v>
      </x:c>
      <x:c r="H29" s="118" t="str">
        <x:f>IF('Scenario Inputs'!$C$27=1,"Allowance confirmed","Pre-tax / obligations pending")</x:f>
        <x:v>Pre-tax / obligations pending</x:v>
      </x:c>
      <x:c r="I29" s="118" t="str">
        <x:f>IF('Scenario Inputs'!$C$27=1,"Allowance confirmed","Pre-tax / obligations pending")</x:f>
        <x:v>Pre-tax / obligations pending</x:v>
      </x:c>
      <x:c r="J29" s="118" t="str">
        <x:f>IF('Scenario Inputs'!$C$27=1,"Allowance confirmed","Pre-tax / obligations pending")</x:f>
        <x:v>Pre-tax / obligations pending</x:v>
      </x:c>
      <x:c r="K29" s="118" t="str">
        <x:f>IF('Scenario Inputs'!$C$27=1,"Allowance confirmed","Pre-tax / obligations pending")</x:f>
        <x:v>Pre-tax / obligations pending</x:v>
      </x:c>
      <x:c r="L29" s="118" t="str">
        <x:f>IF('Scenario Inputs'!$C$27=1,"Allowance confirmed","Pre-tax / obligations pending")</x:f>
        <x:v>Pre-tax / obligations pending</x:v>
      </x:c>
      <x:c r="M29" s="118" t="str">
        <x:f>IF('Scenario Inputs'!$C$27=1,"Allowance confirmed","Pre-tax / obligations pending")</x:f>
        <x:v>Pre-tax / obligations pending</x:v>
      </x:c>
      <x:c r="N29" s="118" t="str">
        <x:f>IF('Scenario Inputs'!$C$27=1,"Allowance confirmed","Pre-tax / obligations pending")</x:f>
        <x:v>Pre-tax / obligations pending</x:v>
      </x:c>
      <x:c r="O29" s="118" t="str">
        <x:f>IF('Scenario Inputs'!$C$27=1,"Allowance confirmed","Pre-tax / obligations pending")</x:f>
        <x:v>Pre-tax / obligations pending</x:v>
      </x:c>
      <x:c r="P29" s="118" t="str">
        <x:f>IF('Scenario Inputs'!$C$27=1,"Allowance confirmed","Pre-tax / obligations pending")</x:f>
        <x:v>Pre-tax / obligations pending</x:v>
      </x:c>
      <x:c r="Q29" s="118" t="str">
        <x:f>IF('Scenario Inputs'!$C$27=1,"Allowance confirmed","Pre-tax / obligations pending")</x:f>
        <x:v>Pre-tax / obligations pending</x:v>
      </x:c>
      <x:c r="R29" s="118" t="str">
        <x:f>IF('Scenario Inputs'!$C$27=1,"Allowance confirmed","Pre-tax / obligations pending")</x:f>
        <x:v>Pre-tax / obligations pending</x:v>
      </x:c>
      <x:c r="S29" s="118" t="str">
        <x:f>IF('Scenario Inputs'!$C$27=1,"Allowance confirmed","Pre-tax / obligations pending")</x:f>
        <x:v>Pre-tax / obligations pending</x:v>
      </x:c>
      <x:c r="T29" s="118" t="str">
        <x:f>IF('Scenario Inputs'!$C$27=1,"Allowance confirmed","Pre-tax / obligations pending")</x:f>
        <x:v>Pre-tax / obligations pending</x:v>
      </x:c>
      <x:c r="U29" s="118" t="str">
        <x:f>IF('Scenario Inputs'!$C$27=1,"Allowance confirmed","Pre-tax / obligations pending")</x:f>
        <x:v>Pre-tax / obligations pending</x:v>
      </x:c>
      <x:c r="V29" s="118" t="str">
        <x:f>IF('Scenario Inputs'!$C$27=1,"Allowance confirmed","Pre-tax / obligations pending")</x:f>
        <x:v>Pre-tax / obligations pending</x:v>
      </x:c>
      <x:c r="W29" s="118" t="str">
        <x:f>IF('Scenario Inputs'!$C$27=1,"Allowance confirmed","Pre-tax / obligations pending")</x:f>
        <x:v>Pre-tax / obligations pending</x:v>
      </x:c>
      <x:c r="X29" s="118" t="str">
        <x:f>IF('Scenario Inputs'!$C$27=1,"Allowance confirmed","Pre-tax / obligations pending")</x:f>
        <x:v>Pre-tax / obligations pending</x:v>
      </x:c>
      <x:c r="Y29" s="118" t="str">
        <x:f>IF('Scenario Inputs'!$C$27=1,"Allowance confirmed","Pre-tax / obligations pending")</x:f>
        <x:v>Pre-tax / obligations pending</x:v>
      </x:c>
      <x:c r="Z29" s="118" t="str">
        <x:f>IF('Scenario Inputs'!$C$27=1,"Allowance confirmed","Pre-tax / obligations pending")</x:f>
        <x:v>Pre-tax / obligations pending</x:v>
      </x:c>
      <x:c r="AA29" s="118" t="str">
        <x:f>IF('Scenario Inputs'!$C$27=1,"Allowance confirmed","Pre-tax / obligations pending")</x:f>
        <x:v>Pre-tax / obligations pending</x:v>
      </x:c>
      <x:c r="AB29" s="118" t="str">
        <x:f>IF('Scenario Inputs'!$C$27=1,"Allowance confirmed","Pre-tax / obligations pending")</x:f>
        <x:v>Pre-tax / obligations pending</x:v>
      </x:c>
      <x:c r="AC29" s="118" t="str">
        <x:f>IF('Scenario Inputs'!$C$27=1,"Allowance confirmed","Pre-tax / obligations pending")</x:f>
        <x:v>Pre-tax / obligations pending</x:v>
      </x:c>
      <x:c r="AD29" s="118" t="str">
        <x:f>IF('Scenario Inputs'!$C$27=1,"Allowance confirmed","Pre-tax / obligations pending")</x:f>
        <x:v>Pre-tax / obligations pending</x:v>
      </x:c>
      <x:c r="AE29" s="118" t="str">
        <x:f>IF('Scenario Inputs'!$C$27=1,"Allowance confirmed","Pre-tax / obligations pending")</x:f>
        <x:v>Pre-tax / obligations pending</x:v>
      </x:c>
      <x:c r="AF29" s="118" t="str">
        <x:f>IF('Scenario Inputs'!$C$27=1,"Allowance confirmed","Pre-tax / obligations pending")</x:f>
        <x:v>Pre-tax / obligations pending</x:v>
      </x:c>
      <x:c r="AG29" s="118" t="str">
        <x:f>IF('Scenario Inputs'!$C$27=1,"Allowance confirmed","Pre-tax / obligations pending")</x:f>
        <x:v>Pre-tax / obligations pending</x:v>
      </x:c>
      <x:c r="AH29" s="118" t="str">
        <x:f>IF('Scenario Inputs'!$C$27=1,"Allowance confirmed","Pre-tax / obligations pending")</x:f>
        <x:v>Pre-tax / obligations pending</x:v>
      </x:c>
      <x:c r="AI29" s="118" t="str">
        <x:f>IF('Scenario Inputs'!$C$27=1,"Allowance confirmed","Pre-tax / obligations pending")</x:f>
        <x:v>Pre-tax / obligations pending</x:v>
      </x:c>
      <x:c r="AJ29" s="118" t="str">
        <x:f>IF('Scenario Inputs'!$C$27=1,"Allowance confirmed","Pre-tax / obligations pending")</x:f>
        <x:v>Pre-tax / obligations pending</x:v>
      </x:c>
      <x:c r="AK29" s="118" t="str">
        <x:f>IF('Scenario Inputs'!$C$27=1,"Allowance confirmed","Pre-tax / obligations pending")</x:f>
        <x:v>Pre-tax / obligations pending</x:v>
      </x:c>
      <x:c r="AL29" s="118" t="str">
        <x:f>IF('Scenario Inputs'!$C$27=1,"Allowance confirmed","Pre-tax / obligations pending")</x:f>
        <x:v>Pre-tax / obligations pending</x:v>
      </x:c>
    </x:row>
  </x:sheetData>
  <x:mergeCells>
    <x:mergeCell ref="C3:Z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" style="4" customWidth="1"/>
    <x:col min="2" max="2" width="2" style="4" customWidth="1"/>
    <x:col min="3" max="3" width="55.11000061035156" style="4" customWidth="1"/>
    <x:col min="4" max="4" width="46.439998626708984" style="4" customWidth="1"/>
    <x:col min="5" max="5" width="42.88999938964844" style="4" customWidth="1"/>
    <x:col min="6" max="6" width="16.889999389648438" style="4" customWidth="1"/>
    <x:col min="7" max="7" width="12.779999732971191" style="4" customWidth="1"/>
  </x:cols>
  <x:sheetData>
    <x:row r="1"/>
    <x:row r="2" s="4" customFormat="1" ht="19.200000762939453" customHeight="1">
      <x:c r="C2" s="2" t="inlineStr">
        <x:is>
          <x:t xml:space="preserve">Milestone Gates</x:t>
        </x:is>
      </x:c>
      <x:c r="D2" s="2" t="n"/>
      <x:c r="E2" s="2" t="n"/>
      <x:c r="F2" s="2" t="n"/>
      <x:c r="G2" s="2" t="n"/>
      <x:c r="H2" s="2" t="n"/>
      <x:c r="I2" s="2" t="n"/>
      <x:c r="J2" s="2" t="n"/>
      <x:c r="K2" s="2" t="n"/>
    </x:row>
    <x:row r="3" s="4" customFormat="1" ht="15" customHeight="1">
      <x:c r="C3" s="3" t="inlineStr">
        <x:is>
          <x:t xml:space="preserve">Release spend when evidence exists. This is how the US$2M avoids looking loose.</x:t>
        </x:is>
      </x:c>
      <x:c r="D3" s="3" t="n"/>
      <x:c r="E3" s="3" t="n"/>
      <x:c r="F3" s="3" t="n"/>
      <x:c r="G3" s="3" t="n"/>
      <x:c r="H3" s="3" t="n"/>
      <x:c r="I3" s="3" t="n"/>
      <x:c r="J3" s="3" t="n"/>
      <x:c r="K3" s="3" t="n"/>
    </x:row>
    <x:row r="4"/>
    <x:row r="5"/>
    <x:row r="6"/>
    <x:row r="7" s="4" customFormat="1" ht="15" customHeight="1">
      <x:c r="C7" s="13" t="inlineStr">
        <x:is>
          <x:t xml:space="preserve">Gate</x:t>
        </x:is>
      </x:c>
      <x:c r="D7" s="13" t="inlineStr">
        <x:is>
          <x:t xml:space="preserve">Before releasing</x:t>
        </x:is>
      </x:c>
      <x:c r="E7" s="13" t="inlineStr">
        <x:is>
          <x:t xml:space="preserve">Evidence</x:t>
        </x:is>
      </x:c>
      <x:c r="F7" s="13" t="inlineStr">
        <x:is>
          <x:t xml:space="preserve">Related spend</x:t>
        </x:is>
      </x:c>
      <x:c r="G7" s="13" t="inlineStr">
        <x:is>
          <x:t xml:space="preserve">Owner to confirm</x:t>
        </x:is>
      </x:c>
    </x:row>
    <x:row r="8" s="4" customFormat="1" ht="15" customHeight="1">
      <x:c r="C8" s="17" t="inlineStr">
        <x:is>
          <x:t xml:space="preserve">Marketplace front</x:t>
        </x:is>
      </x:c>
      <x:c r="D8" s="18" t="inlineStr">
        <x:is>
          <x:t xml:space="preserve">Public discovery pages go live only with disclosure rules.</x:t>
        </x:is>
      </x:c>
      <x:c r="E8" s="18" t="inlineStr">
        <x:is>
          <x:t xml:space="preserve">Screenshots, access controls, restriction language.</x:t>
        </x:is>
      </x:c>
      <x:c r="F8" s="18" t="inlineStr">
        <x:is>
          <x:t xml:space="preserve">Technology / legal</x:t>
        </x:is>
      </x:c>
      <x:c r="G8" s="19" t="inlineStr">
        <x:is>
          <x:t xml:space="preserve">Founder / counsel</x:t>
        </x:is>
      </x:c>
    </x:row>
    <x:row r="9" s="4" customFormat="1" ht="15" customHeight="1">
      <x:c r="C9" s="20" t="inlineStr">
        <x:is>
          <x:t xml:space="preserve">Buyer activation</x:t>
        </x:is>
      </x:c>
      <x:c r="D9" s="21" t="inlineStr">
        <x:is>
          <x:t xml:space="preserve">Outreach starts with qualified segments and CRM tracking.</x:t>
        </x:is>
      </x:c>
      <x:c r="E9" s="21" t="inlineStr">
        <x:is>
          <x:t xml:space="preserve">Buyer list, outreach log, response metrics.</x:t>
        </x:is>
      </x:c>
      <x:c r="F9" s="21" t="inlineStr">
        <x:is>
          <x:t xml:space="preserve">Market-development hub</x:t>
        </x:is>
      </x:c>
      <x:c r="G9" s="22" t="inlineStr">
        <x:is>
          <x:t xml:space="preserve">Founder</x:t>
        </x:is>
      </x:c>
    </x:row>
    <x:row r="10" s="4" customFormat="1" ht="15" customHeight="1">
      <x:c r="C10" s="20" t="inlineStr">
        <x:is>
          <x:t xml:space="preserve">Liquidity readiness</x:t>
        </x:is>
      </x:c>
      <x:c r="D10" s="21" t="inlineStr">
        <x:is>
          <x:t xml:space="preserve">No MM/venue spend before product, wallet and counsel gates.</x:t>
        </x:is>
      </x:c>
      <x:c r="E10" s="21" t="inlineStr">
        <x:is>
          <x:t xml:space="preserve">MM policy, wallet report, legal memo.</x:t>
        </x:is>
      </x:c>
      <x:c r="F10" s="21" t="inlineStr">
        <x:is>
          <x:t xml:space="preserve">Liquidity/MM readiness</x:t>
        </x:is>
      </x:c>
      <x:c r="G10" s="22" t="inlineStr">
        <x:is>
          <x:t xml:space="preserve">Founder / counsel</x:t>
        </x:is>
      </x:c>
    </x:row>
    <x:row r="11" s="4" customFormat="1" ht="15" customHeight="1">
      <x:c r="C11" s="20" t="inlineStr">
        <x:is>
          <x:t xml:space="preserve">Token incentives</x:t>
        </x:is>
      </x:c>
      <x:c r="D11" s="21" t="inlineStr">
        <x:is>
          <x:t xml:space="preserve">No launch before objective covenant and audit readiness.</x:t>
        </x:is>
      </x:c>
      <x:c r="E11" s="21" t="inlineStr">
        <x:is>
          <x:t xml:space="preserve">Covenant, audit, wallet policy, incentive rules.</x:t>
        </x:is>
      </x:c>
      <x:c r="F11" s="21" t="inlineStr">
        <x:is>
          <x:t xml:space="preserve">Token engineering</x:t>
        </x:is>
      </x:c>
      <x:c r="G11" s="22" t="inlineStr">
        <x:is>
          <x:t xml:space="preserve">Founder / counsel</x:t>
        </x:is>
      </x:c>
    </x:row>
    <x:row r="12" s="4" customFormat="1" ht="15" customHeight="1">
      <x:c r="C12" s="20" t="inlineStr">
        <x:is>
          <x:t xml:space="preserve">Provider routing</x:t>
        </x:is>
      </x:c>
      <x:c r="D12" s="21" t="inlineStr">
        <x:is>
          <x:t xml:space="preserve">Providers categorized by function and jurisdiction.</x:t>
        </x:is>
      </x:c>
      <x:c r="E12" s="21" t="inlineStr">
        <x:is>
          <x:t xml:space="preserve">Provider matrix, LOIs/MOUs, constraints.</x:t>
        </x:is>
      </x:c>
      <x:c r="F12" s="21" t="inlineStr">
        <x:is>
          <x:t xml:space="preserve">Legal / hub</x:t>
        </x:is>
      </x:c>
      <x:c r="G12" s="22" t="inlineStr">
        <x:is>
          <x:t xml:space="preserve">Founder</x:t>
        </x:is>
      </x:c>
    </x:row>
    <x:row r="13" s="4" customFormat="1" ht="15" customHeight="1">
      <x:c r="C13" s="20" t="inlineStr">
        <x:is>
          <x:t xml:space="preserve">Seed valuation</x:t>
        </x:is>
      </x:c>
      <x:c r="D13" s="21" t="inlineStr">
        <x:is>
          <x:t xml:space="preserve">US$20M+ only after evidence, not before.</x:t>
        </x:is>
      </x:c>
      <x:c r="E13" s="21" t="inlineStr">
        <x:is>
          <x:t xml:space="preserve">KPI dashboard, revenue quality, pipeline, buyer response.</x:t>
        </x:is>
      </x:c>
      <x:c r="F13" s="21" t="inlineStr">
        <x:is>
          <x:t xml:space="preserve">Seed process</x:t>
        </x:is>
      </x:c>
      <x:c r="G13" s="22" t="inlineStr">
        <x:is>
          <x:t xml:space="preserve">Founder / board</x:t>
        </x:is>
      </x:c>
    </x:row>
    <x:row r="14" s="4" customFormat="1" ht="15" customHeight="1">
      <x:c r="C14" s="20" t="inlineStr">
        <x:is>
          <x:t xml:space="preserve">Security</x:t>
        </x:is>
      </x:c>
      <x:c r="D14" s="21" t="inlineStr">
        <x:is>
          <x:t xml:space="preserve">Investor access moves beyond client-side password for sensitive files.</x:t>
        </x:is>
      </x:c>
      <x:c r="E14" s="21" t="inlineStr">
        <x:is>
          <x:t xml:space="preserve">Server auth, logs, expiring links or controlled data-room provider.</x:t>
        </x:is>
      </x:c>
      <x:c r="F14" s="21" t="inlineStr">
        <x:is>
          <x:t xml:space="preserve">Infrastructure/tools</x:t>
        </x:is>
      </x:c>
      <x:c r="G14" s="22" t="inlineStr">
        <x:is>
          <x:t xml:space="preserve">Platform owner</x:t>
        </x:is>
      </x:c>
    </x:row>
    <x:row r="15" s="4" customFormat="1" ht="15" customHeight="1">
      <x:c r="C15" s="23" t="inlineStr">
        <x:is>
          <x:t xml:space="preserve">Reserve</x:t>
        </x:is>
      </x:c>
      <x:c r="D15" s="24" t="inlineStr">
        <x:is>
          <x:t xml:space="preserve">Reserve cannot be used to mask recurring overspend.</x:t>
        </x:is>
      </x:c>
      <x:c r="E15" s="24" t="inlineStr">
        <x:is>
          <x:t xml:space="preserve">Monthly cash report and board approval.</x:t>
        </x:is>
      </x:c>
      <x:c r="F15" s="24" t="inlineStr">
        <x:is>
          <x:t xml:space="preserve">Reserve</x:t>
        </x:is>
      </x:c>
      <x:c r="G15" s="25" t="inlineStr">
        <x:is>
          <x:t xml:space="preserve">Founder / board</x:t>
        </x:is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" style="4" customWidth="1"/>
    <x:col min="2" max="2" width="2" style="4" customWidth="1"/>
    <x:col min="3" max="3" width="55.11000061035156" style="4" customWidth="1"/>
    <x:col min="4" max="4" width="30.670000076293945" style="4" customWidth="1"/>
    <x:col min="5" max="5" width="34.560001373291016" style="4" customWidth="1"/>
    <x:col min="6" max="6" width="27.440000534057617" style="4" customWidth="1"/>
    <x:col min="7" max="7" width="17.440000534057617" style="4" customWidth="1"/>
    <x:col min="8" max="8" width="28.780000686645508" style="4" customWidth="1"/>
  </x:cols>
  <x:sheetData>
    <x:row r="1"/>
    <x:row r="2" s="4" customFormat="1" ht="19.200000762939453" customHeight="1">
      <x:c r="C2" s="2" t="inlineStr">
        <x:is>
          <x:t xml:space="preserve">GTM and Pricing</x:t>
        </x:is>
      </x:c>
      <x:c r="D2" s="2" t="n"/>
      <x:c r="E2" s="2" t="n"/>
      <x:c r="F2" s="2" t="n"/>
      <x:c r="G2" s="2" t="n"/>
      <x:c r="H2" s="2" t="n"/>
      <x:c r="I2" s="2" t="n"/>
      <x:c r="J2" s="2" t="n"/>
      <x:c r="K2" s="2" t="n"/>
    </x:row>
    <x:row r="3" s="4" customFormat="1" ht="15" customHeight="1">
      <x:c r="C3" s="3" t="str">
        <x:v>UAE buyers and sellers are the initial customer market. No signed contracts. Separate subscription cohorts.</x:v>
      </x:c>
      <x:c r="D3" s="3" t="n"/>
      <x:c r="E3" s="3" t="n"/>
      <x:c r="F3" s="3" t="n"/>
      <x:c r="G3" s="3" t="n"/>
      <x:c r="H3" s="3" t="n"/>
      <x:c r="I3" s="3" t="n"/>
      <x:c r="J3" s="3" t="n"/>
      <x:c r="K3" s="3" t="n"/>
    </x:row>
    <x:row r="4"/>
    <x:row r="5"/>
    <x:row r="6"/>
    <x:row r="7" s="4" customFormat="1" ht="15" customHeight="1">
      <x:c r="C7" s="13" t="inlineStr">
        <x:is>
          <x:t xml:space="preserve">Motion</x:t>
        </x:is>
      </x:c>
      <x:c r="D7" s="13" t="inlineStr">
        <x:is>
          <x:t xml:space="preserve">Target</x:t>
        </x:is>
      </x:c>
      <x:c r="E7" s="13" t="inlineStr">
        <x:is>
          <x:t xml:space="preserve">Offer</x:t>
        </x:is>
      </x:c>
      <x:c r="F7" s="13" t="inlineStr">
        <x:is>
          <x:t xml:space="preserve">Pricing test</x:t>
        </x:is>
      </x:c>
      <x:c r="G7" s="13" t="inlineStr">
        <x:is>
          <x:t xml:space="preserve">Metric</x:t>
        </x:is>
      </x:c>
      <x:c r="H7" s="13" t="inlineStr">
        <x:is>
          <x:t xml:space="preserve">Risk</x:t>
        </x:is>
      </x:c>
    </x:row>
    <x:row r="8" s="4" customFormat="1" ht="60" customHeight="1">
      <x:c r="C8" s="172" t="str">
        <x:v>Free intake</x:v>
      </x:c>
      <x:c r="D8" s="173" t="str">
        <x:v>External issuers</x:v>
      </x:c>
      <x:c r="E8" s="173" t="str">
        <x:v>Connection / submission only</x:v>
      </x:c>
      <x:c r="F8" s="173" t="str">
        <x:v>$0</x:v>
      </x:c>
      <x:c r="G8" s="173" t="str">
        <x:v>Qualified records</x:v>
      </x:c>
      <x:c r="H8" s="174" t="str">
        <x:v>No guarantee of admission</x:v>
      </x:c>
    </x:row>
    <x:row r="9" s="4" customFormat="1" ht="60" customHeight="1">
      <x:c r="C9" s="175" t="str">
        <x:v>Institutional workflow</x:v>
      </x:c>
      <x:c r="D9" s="176" t="str">
        <x:v>Originators / distribution teams</x:v>
      </x:c>
      <x:c r="E9" s="176" t="str">
        <x:v>Platform and separately scoped onboarding</x:v>
      </x:c>
      <x:c r="F9" s="176" t="str">
        <x:v>$3k/month + $15k setup</x:v>
      </x:c>
      <x:c r="G9" s="176" t="str">
        <x:v>Paid renewal</x:v>
      </x:c>
      <x:c r="H9" s="177" t="str">
        <x:v>Scope and cost unvalidated</x:v>
      </x:c>
    </x:row>
    <x:row r="10" s="4" customFormat="1" ht="60" customHeight="1">
      <x:c r="C10" s="175" t="str">
        <x:v>Standalone Enterprise AI</x:v>
      </x:c>
      <x:c r="D10" s="176" t="str">
        <x:v>Separate non-institution cohort</x:v>
      </x:c>
      <x:c r="E10" s="176" t="str">
        <x:v>Bounded reports and reviewed requests</x:v>
      </x:c>
      <x:c r="F10" s="176" t="str">
        <x:v>$990/month</x:v>
      </x:c>
      <x:c r="G10" s="176" t="str">
        <x:v>Usage / contribution</x:v>
      </x:c>
      <x:c r="H10" s="177" t="str">
        <x:v>No unlimited analyst service</x:v>
      </x:c>
    </x:row>
    <x:row r="11" s="4" customFormat="1" ht="60" customHeight="1">
      <x:c r="C11" s="175" t="str">
        <x:v>Approved routed transactions</x:v>
      </x:c>
      <x:c r="D11" s="176" t="str">
        <x:v>Permitted participants</x:v>
      </x:c>
      <x:c r="E11" s="176" t="str">
        <x:v>Contracted, settled fee-eligible volume</x:v>
      </x:c>
      <x:c r="F11" s="176" t="str">
        <x:v>0.15% planning rate</x:v>
      </x:c>
      <x:c r="G11" s="176" t="str">
        <x:v>Settled volume / receipts</x:v>
      </x:c>
      <x:c r="H11" s="177" t="str">
        <x:v>Counsel-approved fee route required</x:v>
      </x:c>
    </x:row>
    <x:row r="12" s="4" customFormat="1" ht="60" customHeight="1">
      <x:c r="C12" s="175" t="str">
        <x:v>Sprint / data add-ons</x:v>
      </x:c>
      <x:c r="D12" s="176" t="str">
        <x:v>Scoped prospects</x:v>
      </x:c>
      <x:c r="E12" s="176" t="str">
        <x:v>Quote after defining non-overlapping delivery</x:v>
      </x:c>
      <x:c r="F12" s="176" t="str">
        <x:v>Excluded from base</x:v>
      </x:c>
      <x:c r="G12" s="176" t="str">
        <x:v>Paid pilot results</x:v>
      </x:c>
      <x:c r="H12" s="177" t="str">
        <x:v>Do not double count onboarding</x:v>
      </x:c>
    </x:row>
    <x:row r="13" s="4" customFormat="1" ht="60" customHeight="1">
      <x:c r="C13" s="178" t="str">
        <x:v>Modules / token</x:v>
      </x:c>
      <x:c r="D13" s="179" t="str">
        <x:v>Future optional scope</x:v>
      </x:c>
      <x:c r="E13" s="179" t="str">
        <x:v>Modules upside after core proof; token proceeds excluded</x:v>
      </x:c>
      <x:c r="F13" s="179" t="str">
        <x:v>No base revenue</x:v>
      </x:c>
      <x:c r="G13" s="179" t="str">
        <x:v>Verified demand / contribution</x:v>
      </x:c>
      <x:c r="H13" s="180" t="str">
        <x:v>Legal and budget gates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" style="4" customWidth="1"/>
    <x:col min="2" max="2" width="2" style="4" customWidth="1"/>
    <x:col min="3" max="3" width="50.220001220703125" style="4" customWidth="1"/>
    <x:col min="4" max="4" width="10.670000076293945" style="4" customWidth="1"/>
    <x:col min="5" max="5" width="51.66999816894531" style="4" customWidth="1"/>
    <x:col min="6" max="6" width="5.78000020980835" style="4" customWidth="1"/>
    <x:col min="7" max="7" width="10.4399995803833" style="4" customWidth="1"/>
    <x:col min="8" max="8" width="23.889999389648438" style="4" customWidth="1"/>
  </x:cols>
  <x:sheetData>
    <x:row r="1"/>
    <x:row r="2" s="4" customFormat="1" ht="19.200000762939453" customHeight="1">
      <x:c r="C2" s="2" t="inlineStr">
        <x:is>
          <x:t xml:space="preserve">Evidence Map</x:t>
        </x:is>
      </x:c>
      <x:c r="D2" s="2" t="n"/>
      <x:c r="E2" s="2" t="n"/>
      <x:c r="F2" s="2" t="n"/>
      <x:c r="G2" s="2" t="n"/>
      <x:c r="H2" s="2" t="n"/>
      <x:c r="I2" s="2" t="n"/>
      <x:c r="J2" s="2" t="n"/>
      <x:c r="K2" s="2" t="n"/>
    </x:row>
    <x:row r="3" s="4" customFormat="1" ht="15" customHeight="1">
      <x:c r="C3" s="3" t="inlineStr">
        <x:is>
          <x:t xml:space="preserve">Claim-by-claim diligence map. Fill owner/status as proof becomes available.</x:t>
        </x:is>
      </x:c>
      <x:c r="D3" s="3" t="n"/>
      <x:c r="E3" s="3" t="n"/>
      <x:c r="F3" s="3" t="n"/>
      <x:c r="G3" s="3" t="n"/>
      <x:c r="H3" s="3" t="n"/>
      <x:c r="I3" s="3" t="n"/>
      <x:c r="J3" s="3" t="n"/>
      <x:c r="K3" s="3" t="n"/>
    </x:row>
    <x:row r="4"/>
    <x:row r="5"/>
    <x:row r="6"/>
    <x:row r="7" s="4" customFormat="1" ht="15" customHeight="1">
      <x:c r="C7" s="13" t="inlineStr">
        <x:is>
          <x:t xml:space="preserve">Claim</x:t>
        </x:is>
      </x:c>
      <x:c r="D7" s="13" t="inlineStr">
        <x:is>
          <x:t xml:space="preserve">Current status</x:t>
        </x:is>
      </x:c>
      <x:c r="E7" s="13" t="inlineStr">
        <x:is>
          <x:t xml:space="preserve">Required proof</x:t>
        </x:is>
      </x:c>
      <x:c r="F7" s="13" t="inlineStr">
        <x:is>
          <x:t xml:space="preserve">Priority</x:t>
        </x:is>
      </x:c>
      <x:c r="G7" s="13" t="inlineStr">
        <x:is>
          <x:t xml:space="preserve">Owner</x:t>
        </x:is>
      </x:c>
      <x:c r="H7" s="13" t="inlineStr">
        <x:is>
          <x:t xml:space="preserve">Notes</x:t>
        </x:is>
      </x:c>
    </x:row>
    <x:row r="8" s="4" customFormat="1" ht="48" customHeight="1">
      <x:c r="C8" s="172" t="inlineStr">
        <x:is>
          <x:t xml:space="preserve">Execution proof</x:t>
        </x:is>
      </x:c>
      <x:c r="D8" s="173" t="str">
        <x:v>Founder-reported; unreconciled</x:v>
      </x:c>
      <x:c r="E8" s="173" t="inlineStr">
        <x:is>
          <x:t xml:space="preserve">GMV ledger, invoices, CRM export, AI workflow usage.</x:t>
        </x:is>
      </x:c>
      <x:c r="F8" s="173" t="inlineStr">
        <x:is>
          <x:t xml:space="preserve">High</x:t>
        </x:is>
      </x:c>
      <x:c r="G8" s="173" t="inlineStr">
        <x:is>
          <x:t xml:space="preserve">Founder</x:t>
        </x:is>
      </x:c>
      <x:c r="H8" s="174" t="inlineStr">
        <x:is>
          <x:t xml:space="preserve">Use redacted source files.</x:t>
        </x:is>
      </x:c>
    </x:row>
    <x:row r="9" s="4" customFormat="1" ht="48" customHeight="1">
      <x:c r="C9" s="175" t="inlineStr">
        <x:is>
          <x:t xml:space="preserve">Opportunity supply</x:t>
        </x:is>
      </x:c>
      <x:c r="D9" s="176" t="str">
        <x:v>No signed pilots</x:v>
      </x:c>
      <x:c r="E9" s="176" t="inlineStr">
        <x:is>
          <x:t xml:space="preserve">Pipeline with asset type, owner, mandate, jurisdiction, readiness.</x:t>
        </x:is>
      </x:c>
      <x:c r="F9" s="176" t="inlineStr">
        <x:is>
          <x:t xml:space="preserve">High</x:t>
        </x:is>
      </x:c>
      <x:c r="G9" s="176" t="inlineStr">
        <x:is>
          <x:t xml:space="preserve">Founder</x:t>
        </x:is>
      </x:c>
      <x:c r="H9" s="177" t="inlineStr">
        <x:is>
          <x:t xml:space="preserve">Do not overclaim approved supply.</x:t>
        </x:is>
      </x:c>
    </x:row>
    <x:row r="10" s="4" customFormat="1" ht="48" customHeight="1">
      <x:c r="C10" s="175" t="inlineStr">
        <x:is>
          <x:t xml:space="preserve">Buyer activation</x:t>
        </x:is>
      </x:c>
      <x:c r="D10" s="176" t="str">
        <x:v>Unvalidated funnel</x:v>
      </x:c>
      <x:c r="E10" s="176" t="inlineStr">
        <x:is>
          <x:t xml:space="preserve">Buyer funnel: contacted, responded, meeting, diligence, declined.</x:t>
        </x:is>
      </x:c>
      <x:c r="F10" s="176" t="inlineStr">
        <x:is>
          <x:t xml:space="preserve">High</x:t>
        </x:is>
      </x:c>
      <x:c r="G10" s="176" t="inlineStr">
        <x:is>
          <x:t xml:space="preserve">Founder</x:t>
        </x:is>
      </x:c>
      <x:c r="H10" s="177" t="inlineStr">
        <x:is>
          <x:t xml:space="preserve">This is central to the thesis.</x:t>
        </x:is>
      </x:c>
    </x:row>
    <x:row r="11" s="4" customFormat="1" ht="48" customHeight="1">
      <x:c r="C11" s="175" t="inlineStr">
        <x:is>
          <x:t xml:space="preserve">Provider coverage</x:t>
        </x:is>
      </x:c>
      <x:c r="D11" s="176" t="str">
        <x:v>Not contracted</x:v>
      </x:c>
      <x:c r="E11" s="176" t="inlineStr">
        <x:is>
          <x:t xml:space="preserve">Provider matrix by function, status and jurisdiction.</x:t>
        </x:is>
      </x:c>
      <x:c r="F11" s="176" t="inlineStr">
        <x:is>
          <x:t xml:space="preserve">High</x:t>
        </x:is>
      </x:c>
      <x:c r="G11" s="176" t="inlineStr">
        <x:is>
          <x:t xml:space="preserve">Founder</x:t>
        </x:is>
      </x:c>
      <x:c r="H11" s="177" t="inlineStr">
        <x:is>
          <x:t xml:space="preserve">Needed to prove neutrality.</x:t>
        </x:is>
      </x:c>
    </x:row>
    <x:row r="12" s="4" customFormat="1" ht="48" customHeight="1">
      <x:c r="C12" s="175" t="inlineStr">
        <x:is>
          <x:t xml:space="preserve">Legal perimeter</x:t>
        </x:is>
      </x:c>
      <x:c r="D12" s="176" t="str">
        <x:v>BVI / Cayman; UAE customers</x:v>
      </x:c>
      <x:c r="E12" s="176" t="str">
        <x:v>Post-funding counsel: BVI/Cayman structure and UAE customer permissions.</x:v>
      </x:c>
      <x:c r="F12" s="176" t="inlineStr">
        <x:is>
          <x:t xml:space="preserve">High</x:t>
        </x:is>
      </x:c>
      <x:c r="G12" s="176" t="inlineStr">
        <x:is>
          <x:t xml:space="preserve">Counsel</x:t>
        </x:is>
      </x:c>
      <x:c r="H12" s="177" t="inlineStr">
        <x:is>
          <x:t xml:space="preserve">Critical before broad sharing.</x:t>
        </x:is>
      </x:c>
    </x:row>
    <x:row r="13" s="4" customFormat="1" ht="48" customHeight="1">
      <x:c r="C13" s="175" t="inlineStr">
        <x:is>
          <x:t xml:space="preserve">Product build</x:t>
        </x:is>
      </x:c>
      <x:c r="D13" s="176" t="str">
        <x:v>Prototype only</x:v>
      </x:c>
      <x:c r="E13" s="176" t="str">
        <x:v>Priced narrow pilot, signed delivery/IP terms and security acceptance.</x:v>
      </x:c>
      <x:c r="F13" s="176" t="inlineStr">
        <x:is>
          <x:t xml:space="preserve">High</x:t>
        </x:is>
      </x:c>
      <x:c r="G13" s="176" t="str">
        <x:v>Technical owner to be named</x:v>
      </x:c>
      <x:c r="H13" s="177" t="inlineStr">
        <x:is>
          <x:t xml:space="preserve">Needed for tech budget credibility.</x:t>
        </x:is>
      </x:c>
    </x:row>
    <x:row r="14" s="4" customFormat="1" ht="48" customHeight="1">
      <x:c r="C14" s="175" t="inlineStr">
        <x:is>
          <x:t xml:space="preserve">Financial discipline</x:t>
        </x:is>
      </x:c>
      <x:c r="D14" s="176" t="inlineStr">
        <x:is>
          <x:t xml:space="preserve">Modelled</x:t>
        </x:is>
      </x:c>
      <x:c r="E14" s="176" t="inlineStr">
        <x:is>
          <x:t xml:space="preserve">Monthly burn report after close.</x:t>
        </x:is>
      </x:c>
      <x:c r="F14" s="176" t="inlineStr">
        <x:is>
          <x:t xml:space="preserve">Medium</x:t>
        </x:is>
      </x:c>
      <x:c r="G14" s="176" t="inlineStr">
        <x:is>
          <x:t xml:space="preserve">Founder</x:t>
        </x:is>
      </x:c>
      <x:c r="H14" s="177" t="inlineStr">
        <x:is>
          <x:t xml:space="preserve">Tie spend to gates.</x:t>
        </x:is>
      </x:c>
    </x:row>
    <x:row r="15" s="4" customFormat="1" ht="48" customHeight="1">
      <x:c r="C15" s="175" t="inlineStr">
        <x:is>
          <x:t xml:space="preserve">Token governance</x:t>
        </x:is>
      </x:c>
      <x:c r="D15" s="176" t="inlineStr">
        <x:is>
          <x:t xml:space="preserve">Drafted</x:t>
        </x:is>
      </x:c>
      <x:c r="E15" s="176" t="inlineStr">
        <x:is>
          <x:t xml:space="preserve">Objective covenant, wallet policy and audit readiness.</x:t>
        </x:is>
      </x:c>
      <x:c r="F15" s="176" t="inlineStr">
        <x:is>
          <x:t xml:space="preserve">Medium</x:t>
        </x:is>
      </x:c>
      <x:c r="G15" s="176" t="inlineStr">
        <x:is>
          <x:t xml:space="preserve">Counsel</x:t>
        </x:is>
      </x:c>
      <x:c r="H15" s="177" t="inlineStr">
        <x:is>
          <x:t xml:space="preserve">Keep subordinate.</x:t>
        </x:is>
      </x:c>
    </x:row>
    <x:row r="16" s="4" customFormat="1" ht="48" customHeight="1">
      <x:c r="C16" s="175" t="inlineStr">
        <x:is>
          <x:t xml:space="preserve">Security</x:t>
        </x:is>
      </x:c>
      <x:c r="D16" s="176" t="inlineStr">
        <x:is>
          <x:t xml:space="preserve">Demo-level</x:t>
        </x:is>
      </x:c>
      <x:c r="E16" s="176" t="inlineStr">
        <x:is>
          <x:t xml:space="preserve">Server-side data-room access with logs/expiry.</x:t>
        </x:is>
      </x:c>
      <x:c r="F16" s="176" t="inlineStr">
        <x:is>
          <x:t xml:space="preserve">Medium</x:t>
        </x:is>
      </x:c>
      <x:c r="G16" s="176" t="inlineStr">
        <x:is>
          <x:t xml:space="preserve">Platform owner</x:t>
        </x:is>
      </x:c>
      <x:c r="H16" s="177" t="inlineStr">
        <x:is>
          <x:t xml:space="preserve">Client-side login is not final security.</x:t>
        </x:is>
      </x:c>
    </x:row>
    <x:row r="17" s="4" customFormat="1" ht="48" customHeight="1">
      <x:c r="C17" s="178" t="inlineStr">
        <x:is>
          <x:t xml:space="preserve">Competitive position</x:t>
        </x:is>
      </x:c>
      <x:c r="D17" s="179" t="inlineStr">
        <x:is>
          <x:t xml:space="preserve">Drafted</x:t>
        </x:is>
      </x:c>
      <x:c r="E17" s="179" t="str">
        <x:v>Tokeny complementary; compare workflow value against actual substitutes.</x:v>
      </x:c>
      <x:c r="F17" s="179" t="inlineStr">
        <x:is>
          <x:t xml:space="preserve">Medium</x:t>
        </x:is>
      </x:c>
      <x:c r="G17" s="179" t="inlineStr">
        <x:is>
          <x:t xml:space="preserve">Founder</x:t>
        </x:is>
      </x:c>
      <x:c r="H17" s="180" t="inlineStr">
        <x:is>
          <x:t xml:space="preserve">Keep factual and dated.</x:t>
        </x:is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" style="4" customWidth="1"/>
    <x:col min="2" max="2" width="2" style="4" customWidth="1"/>
    <x:col min="3" max="3" width="44" style="4" customWidth="1"/>
    <x:col min="4" max="4" width="11.670000076293945" style="4" customWidth="1"/>
    <x:col min="5" max="5" width="9.5600004196167" style="4" customWidth="1"/>
    <x:col min="6" max="6" width="5" style="4" customWidth="1"/>
  </x:cols>
  <x:sheetData>
    <x:row r="1"/>
    <x:row r="2" s="4" customFormat="1" ht="19.200000762939453" customHeight="1">
      <x:c r="C2" s="2" t="inlineStr">
        <x:is>
          <x:t xml:space="preserve">Checks</x:t>
        </x:is>
      </x:c>
      <x:c r="D2" s="2" t="n"/>
      <x:c r="E2" s="2" t="n"/>
      <x:c r="F2" s="2" t="n"/>
      <x:c r="G2" s="2" t="n"/>
      <x:c r="H2" s="2" t="n"/>
      <x:c r="I2" s="2" t="n"/>
      <x:c r="J2" s="2" t="n"/>
      <x:c r="K2" s="2" t="n"/>
    </x:row>
    <x:row r="3" s="4" customFormat="1" ht="15" customHeight="1">
      <x:c r="C3" s="3" t="inlineStr">
        <x:is>
          <x:t xml:space="preserve">Formula checks for totals, runway and investor-facing consistency.</x:t>
        </x:is>
      </x:c>
      <x:c r="D3" s="3" t="n"/>
      <x:c r="E3" s="3" t="n"/>
      <x:c r="F3" s="3" t="n"/>
      <x:c r="G3" s="3" t="n"/>
      <x:c r="H3" s="3" t="n"/>
      <x:c r="I3" s="3" t="n"/>
      <x:c r="J3" s="3" t="n"/>
      <x:c r="K3" s="3" t="n"/>
    </x:row>
    <x:row r="4"/>
    <x:row r="5"/>
    <x:row r="6"/>
    <x:row r="7" s="4" customFormat="1" ht="15" customHeight="1">
      <x:c r="C7" s="13" t="str">
        <x:v>Check</x:v>
      </x:c>
      <x:c r="D7" s="13" t="str">
        <x:v>Difference / status</x:v>
      </x:c>
      <x:c r="E7" s="13" t="str">
        <x:v>Expected</x:v>
      </x:c>
      <x:c r="F7" s="13" t="str">
        <x:v>Result</x:v>
      </x:c>
    </x:row>
    <x:row r="8" s="4" customFormat="1" ht="15" customHeight="1">
      <x:c r="C8" s="17" t="str">
        <x:v>Base allocation</x:v>
      </x:c>
      <x:c r="D8" s="49" t="n">
        <x:f>'Use of Funds'!D18-'Assumptions'!D8</x:f>
        <x:v>0</x:v>
      </x:c>
      <x:c r="E8" s="49" t="n">
        <x:v>0</x:v>
      </x:c>
      <x:c r="F8" s="19" t="str">
        <x:f>IF(ABS(D8-E8)&lt;0.01,"OK","Pending / review")</x:f>
        <x:v>OK</x:v>
      </x:c>
    </x:row>
    <x:row r="9" s="4" customFormat="1" ht="15" customHeight="1">
      <x:c r="C9" s="20" t="str">
        <x:v>Full-tech allocation</x:v>
      </x:c>
      <x:c r="D9" s="50" t="n">
        <x:f>'Use of Funds'!F18-'Assumptions'!E8</x:f>
        <x:v>0</x:v>
      </x:c>
      <x:c r="E9" s="50" t="n">
        <x:v>0</x:v>
      </x:c>
      <x:c r="F9" s="22" t="str">
        <x:f>IF(ABS(D9-E9)&lt;0.01,"OK","Pending / review")</x:f>
        <x:v>OK</x:v>
      </x:c>
    </x:row>
    <x:row r="10" s="4" customFormat="1" ht="15" customHeight="1">
      <x:c r="C10" s="20" t="str">
        <x:v>Technology schedule</x:v>
      </x:c>
      <x:c r="D10" s="50" t="n">
        <x:f>SUM('Monthly Burn'!C8:Z8)-CHOOSE('Scenario Inputs'!C19,'Use of Funds'!D8,'Use of Funds'!F8)</x:f>
        <x:v>0</x:v>
      </x:c>
      <x:c r="E10" s="50" t="n">
        <x:v>0</x:v>
      </x:c>
      <x:c r="F10" s="22" t="str">
        <x:f>IF(ABS(D10-E10)&lt;0.01,"OK","Pending / review")</x:f>
        <x:v>OK</x:v>
      </x:c>
    </x:row>
    <x:row r="11" s="4" customFormat="1" ht="15" customHeight="1">
      <x:c r="C11" s="20" t="str">
        <x:v>Founder schedule</x:v>
      </x:c>
      <x:c r="D11" s="50" t="n">
        <x:f>SUM('Monthly Burn'!C9:Z9)-CHOOSE('Scenario Inputs'!C19,'Use of Funds'!D9,'Use of Funds'!F9)</x:f>
        <x:v>0</x:v>
      </x:c>
      <x:c r="E11" s="50" t="n">
        <x:v>0</x:v>
      </x:c>
      <x:c r="F11" s="22" t="str">
        <x:f>IF(ABS(D11-E11)&lt;0.01,"OK","Pending / review")</x:f>
        <x:v>OK</x:v>
      </x:c>
    </x:row>
    <x:row r="12" s="4" customFormat="1" ht="15" customHeight="1">
      <x:c r="C12" s="20" t="str">
        <x:v>Admin schedule</x:v>
      </x:c>
      <x:c r="D12" s="50" t="n">
        <x:f>SUM('Monthly Burn'!C10:Z10)-CHOOSE('Scenario Inputs'!C19,'Use of Funds'!D10,'Use of Funds'!F10)</x:f>
        <x:v>0</x:v>
      </x:c>
      <x:c r="E12" s="50" t="n">
        <x:v>0</x:v>
      </x:c>
      <x:c r="F12" s="22" t="str">
        <x:f>IF(ABS(D12-E12)&lt;0.01,"OK","Pending / review")</x:f>
        <x:v>OK</x:v>
      </x:c>
    </x:row>
    <x:row r="13" s="4" customFormat="1" ht="15" customHeight="1">
      <x:c r="C13" s="20" t="str">
        <x:v>Legal schedule</x:v>
      </x:c>
      <x:c r="D13" s="50" t="n">
        <x:f>SUM('Monthly Burn'!C11:Z11)-CHOOSE('Scenario Inputs'!C19,'Use of Funds'!D11,'Use of Funds'!F11)</x:f>
        <x:v>-2.9103830456733704e-11</x:v>
      </x:c>
      <x:c r="E13" s="50" t="n">
        <x:v>0</x:v>
      </x:c>
      <x:c r="F13" s="22" t="str">
        <x:f>IF(ABS(D13-E13)&lt;0.01,"OK","Pending / review")</x:f>
        <x:v>OK</x:v>
      </x:c>
    </x:row>
    <x:row r="14" s="4" customFormat="1" ht="15" customHeight="1">
      <x:c r="C14" s="20" t="str">
        <x:v>Year 1 revenue reconciliation</x:v>
      </x:c>
      <x:c r="D14" s="21" t="n">
        <x:f>'Revenue Model'!D31-SUM('Monthly Revenue'!C20:N20)</x:f>
        <x:v>0</x:v>
      </x:c>
      <x:c r="E14" s="21" t="n">
        <x:v>0</x:v>
      </x:c>
      <x:c r="F14" s="22" t="str">
        <x:f>IF(ABS(D14-E14)&lt;0.01,"OK","Pending / review")</x:f>
        <x:v>OK</x:v>
      </x:c>
    </x:row>
    <x:row r="15" s="4" customFormat="1" ht="15" customHeight="1">
      <x:c r="C15" s="23" t="str">
        <x:v>Year 2 cash reconciliation</x:v>
      </x:c>
      <x:c r="D15" s="24" t="n">
        <x:f>'Financial Projection'!E16-'Monthly Burn'!Z28</x:f>
        <x:v>0</x:v>
      </x:c>
      <x:c r="E15" s="24" t="n">
        <x:v>0</x:v>
      </x:c>
      <x:c r="F15" s="25" t="str">
        <x:f>IF(ABS(D15-E15)&lt;0.01,"OK","Pending / review")</x:f>
        <x:v>OK</x:v>
      </x:c>
    </x:row>
    <x:row r="16">
      <x:c r="C16" t="str">
        <x:v>Receivables reconciliation</x:v>
      </x:c>
      <x:c r="D16" t="n">
        <x:f>SUM('Monthly Revenue'!C27:AL27)-SUM('Monthly Revenue'!C25:AL25)-'Monthly Revenue'!AL26</x:f>
        <x:v>0</x:v>
      </x:c>
      <x:c r="E16" t="n">
        <x:v>0</x:v>
      </x:c>
      <x:c r="F16" t="str">
        <x:f>IF(ABS(D16-E16)&lt;0.01,"OK","Pending / review")</x:f>
        <x:v>OK</x:v>
      </x:c>
    </x:row>
    <x:row r="17">
      <x:c r="C17" s="113" t="str">
        <x:v>No base module revenue</x:v>
      </x:c>
      <x:c r="D17" s="114" t="n">
        <x:f>IF('Scenario Inputs'!C13=0,SUM('Revenue Model'!D30:F30),0)</x:f>
        <x:v>0</x:v>
      </x:c>
      <x:c r="E17" s="114" t="n">
        <x:v>0</x:v>
      </x:c>
      <x:c r="F17" s="113" t="str">
        <x:f>IF(ABS(D17-E17)&lt;0.01,"OK","Pending / review")</x:f>
        <x:v>OK</x:v>
      </x:c>
    </x:row>
    <x:row r="18">
      <x:c r="C18" t="str">
        <x:v>Minimum pre-tax cash</x:v>
      </x:c>
      <x:c r="D18" s="95" t="n">
        <x:f>MIN('Monthly Burn'!C28:AL28)</x:f>
        <x:v>6394.500000000582</x:v>
      </x:c>
      <x:c r="E18" s="95" t="str">
        <x:v>Nonnegative</x:v>
      </x:c>
      <x:c r="F18" t="str">
        <x:f>IF(D18&gt;=0,"OK","Action required")</x:f>
        <x:v>OK</x:v>
      </x:c>
    </x:row>
    <x:row r="19">
      <x:c r="C19" t="str">
        <x:v>Tax/other allowance confirmation</x:v>
      </x:c>
      <x:c r="D19" s="95" t="n">
        <x:f>'Scenario Inputs'!C27</x:f>
        <x:v>0</x:v>
      </x:c>
      <x:c r="E19" s="95" t="n">
        <x:v>1</x:v>
      </x:c>
      <x:c r="F19" t="str">
        <x:f>IF(ABS(D19-E19)&lt;0.01,"OK","Pending / review")</x:f>
        <x:v>Pending / review</x:v>
      </x:c>
    </x:row>
    <x:row r="20">
      <x:c r="C20" t="str">
        <x:v>Protected budget reserve</x:v>
      </x:c>
      <x:c r="D20" s="95" t="n">
        <x:f>MIN('Use of Funds'!D17,'Use of Funds'!F17)</x:f>
        <x:v>122000</x:v>
      </x:c>
      <x:c r="E20" s="95" t="str">
        <x:v>Nonnegative</x:v>
      </x:c>
      <x:c r="F20" t="str">
        <x:f>IF(D20&gt;=0,"OK","Action required")</x:f>
        <x:v>OK</x:v>
      </x:c>
    </x:row>
    <x:row r="21">
      <x:c r="C21"/>
      <x:c r="D21" s="95"/>
      <x:c r="E21" s="95"/>
      <x:c r="F21"/>
    </x:row>
    <x:row r="22">
      <x:c r="C22"/>
      <x:c r="D22" s="95"/>
      <x:c r="E22" s="95"/>
      <x:c r="F22"/>
    </x:row>
    <x:row r="23">
      <x:c r="C23" t="str">
        <x:v>Checks do not certify signed contracts, legal approval, unit costs or customer evidence.</x:v>
      </x:c>
      <x:c r="D23"/>
      <x:c r="E23"/>
      <x:c r="F23"/>
    </x:row>
    <x:row r="24">
      <x:c r="C24"/>
      <x:c r="D24" s="95"/>
      <x:c r="E24" s="95"/>
      <x:c r="F24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" style="4" customWidth="1"/>
    <x:col min="2" max="2" width="2" style="4" customWidth="1"/>
    <x:col min="3" max="3" width="40.560001373291016" style="4" customWidth="1"/>
    <x:col min="4" max="4" width="28.440000534057617" style="4" customWidth="1"/>
    <x:col min="5" max="5" width="10.220000267028809" style="4" customWidth="1"/>
    <x:col min="6" max="6" width="17.219999313354492" style="4" customWidth="1"/>
    <x:col min="7" max="7" width="89.55999755859375" style="4" customWidth="1"/>
    <x:col min="8" max="8" width="39.560001373291016" style="4" customWidth="1"/>
  </x:cols>
  <x:sheetData>
    <x:row r="1"/>
    <x:row r="2" s="4" customFormat="1" ht="19.200000762939453" customHeight="1">
      <x:c r="C2" s="2" t="inlineStr">
        <x:is>
          <x:t xml:space="preserve">Sources and Limits</x:t>
        </x:is>
      </x:c>
      <x:c r="D2" s="2" t="n"/>
      <x:c r="E2" s="2" t="n"/>
      <x:c r="F2" s="2" t="n"/>
      <x:c r="G2" s="2" t="n"/>
      <x:c r="H2" s="2" t="n"/>
      <x:c r="I2" s="2" t="n"/>
      <x:c r="J2" s="2" t="n"/>
      <x:c r="K2" s="2" t="n"/>
    </x:row>
    <x:row r="3" s="4" customFormat="1" ht="15" customHeight="1">
      <x:c r="C3" s="3" t="str">
        <x:v>Source assumptions retained from September 2026 model. Revised timing/scenarios are provisional planning inputs as of 23 September 2026; no customer contracts inferred.</x:v>
      </x:c>
      <x:c r="D3" s="3" t="n"/>
      <x:c r="E3" s="3" t="n"/>
      <x:c r="F3" s="3" t="n"/>
      <x:c r="G3" s="3" t="n"/>
      <x:c r="H3" s="3" t="n"/>
      <x:c r="I3" s="3" t="n"/>
      <x:c r="J3" s="3" t="n"/>
      <x:c r="K3" s="3" t="n"/>
    </x:row>
    <x:row r="4"/>
    <x:row r="5"/>
    <x:row r="6"/>
    <x:row r="7" s="4" customFormat="1" ht="15" customHeight="1">
      <x:c r="C7" s="13" t="inlineStr">
        <x:is>
          <x:t xml:space="preserve">Item</x:t>
        </x:is>
      </x:c>
      <x:c r="D7" s="13" t="inlineStr">
        <x:is>
          <x:t xml:space="preserve">Value</x:t>
        </x:is>
      </x:c>
      <x:c r="E7" s="13" t="inlineStr">
        <x:is>
          <x:t xml:space="preserve">Units</x:t>
        </x:is>
      </x:c>
      <x:c r="F7" s="13" t="inlineStr">
        <x:is>
          <x:t xml:space="preserve">Period / as-of</x:t>
        </x:is>
      </x:c>
      <x:c r="G7" s="13" t="inlineStr">
        <x:is>
          <x:t xml:space="preserve">Source</x:t>
        </x:is>
      </x:c>
      <x:c r="H7" s="13" t="inlineStr">
        <x:is>
          <x:t xml:space="preserve">Notes</x:t>
        </x:is>
      </x:c>
    </x:row>
    <x:row r="8" s="4" customFormat="1" ht="15" customHeight="1">
      <x:c r="C8" s="17" t="inlineStr">
        <x:is>
          <x:t xml:space="preserve">Round size</x:t>
        </x:is>
      </x:c>
      <x:c r="D8" s="18" t="inlineStr">
        <x:is>
          <x:t xml:space="preserve">2000000</x:t>
        </x:is>
      </x:c>
      <x:c r="E8" s="18" t="inlineStr">
        <x:is>
          <x:t xml:space="preserve">USD</x:t>
        </x:is>
      </x:c>
      <x:c r="F8" s="18" t="inlineStr">
        <x:is>
          <x:t xml:space="preserve">2026-09</x:t>
        </x:is>
      </x:c>
      <x:c r="G8" s="18" t="inlineStr">
        <x:is>
          <x:t xml:space="preserve">Founder instruction</x:t>
        </x:is>
      </x:c>
      <x:c r="H8" s="19" t="inlineStr">
        <x:is>
          <x:t xml:space="preserve">Pre-seed de-risking round.</x:t>
        </x:is>
      </x:c>
    </x:row>
    <x:row r="9" s="4" customFormat="1" ht="15" customHeight="1">
      <x:c r="C9" s="20" t="inlineStr">
        <x:is>
          <x:t xml:space="preserve">Founder draw</x:t>
        </x:is>
      </x:c>
      <x:c r="D9" s="21" t="inlineStr">
        <x:is>
          <x:t xml:space="preserve">7000</x:t>
        </x:is>
      </x:c>
      <x:c r="E9" s="21" t="inlineStr">
        <x:is>
          <x:t xml:space="preserve">USD/month</x:t>
        </x:is>
      </x:c>
      <x:c r="F9" s="21" t="inlineStr">
        <x:is>
          <x:t xml:space="preserve">24 months</x:t>
        </x:is>
      </x:c>
      <x:c r="G9" s="21" t="inlineStr">
        <x:is>
          <x:t xml:space="preserve">Founder instruction</x:t>
        </x:is>
      </x:c>
      <x:c r="H9" s="22" t="inlineStr">
        <x:is>
          <x:t xml:space="preserve">Disclosed as operating draw.</x:t>
        </x:is>
      </x:c>
    </x:row>
    <x:row r="10" s="4" customFormat="1" ht="15" customHeight="1">
      <x:c r="C10" s="20" t="inlineStr">
        <x:is>
          <x:t xml:space="preserve">Admin</x:t>
        </x:is>
      </x:c>
      <x:c r="D10" s="21" t="inlineStr">
        <x:is>
          <x:t xml:space="preserve">10000</x:t>
        </x:is>
      </x:c>
      <x:c r="E10" s="21" t="inlineStr">
        <x:is>
          <x:t xml:space="preserve">USD/month</x:t>
        </x:is>
      </x:c>
      <x:c r="F10" s="21" t="inlineStr">
        <x:is>
          <x:t xml:space="preserve">24 months</x:t>
        </x:is>
      </x:c>
      <x:c r="G10" s="21" t="inlineStr">
        <x:is>
          <x:t xml:space="preserve">Founder instruction</x:t>
        </x:is>
      </x:c>
      <x:c r="H10" s="22" t="inlineStr">
        <x:is>
          <x:t xml:space="preserve">Project operations backbone.</x:t>
        </x:is>
      </x:c>
    </x:row>
    <x:row r="11" s="4" customFormat="1" ht="15" customHeight="1">
      <x:c r="C11" s="20" t="inlineStr">
        <x:is>
          <x:t xml:space="preserve">RWA market context</x:t>
        </x:is>
      </x:c>
      <x:c r="D11" s="21" t="inlineStr">
        <x:is>
          <x:t xml:space="preserve">RWA market growing but fragmented</x:t>
        </x:is>
      </x:c>
      <x:c r="E11" s="21" t="inlineStr">
        <x:is>
          <x:t xml:space="preserve">Qualitative</x:t>
        </x:is>
      </x:c>
      <x:c r="F11" s="21" t="inlineStr">
        <x:is>
          <x:t xml:space="preserve">2026</x:t>
        </x:is>
      </x:c>
      <x:c r="G11" s="21" t="inlineStr">
        <x:is>
          <x:t xml:space="preserve">https://app.rwa.xyz/blog/announcing-real-estate-dashboard</x:t>
        </x:is>
      </x:c>
      <x:c r="H11" s="22" t="inlineStr">
        <x:is>
          <x:t xml:space="preserve">Secondary liquidity and standardization remain bottlenecks.</x:t>
        </x:is>
      </x:c>
    </x:row>
    <x:row r="12" s="4" customFormat="1" ht="15" customHeight="1">
      <x:c r="C12" s="20" t="inlineStr">
        <x:is>
          <x:t xml:space="preserve">Tokenization market context</x:t>
        </x:is>
      </x:c>
      <x:c r="D12" s="21" t="inlineStr">
        <x:is>
          <x:t xml:space="preserve">Dormant and concentrated on-chain value</x:t>
        </x:is>
      </x:c>
      <x:c r="E12" s="21" t="inlineStr">
        <x:is>
          <x:t xml:space="preserve">Qualitative</x:t>
        </x:is>
      </x:c>
      <x:c r="F12" s="21" t="inlineStr">
        <x:is>
          <x:t xml:space="preserve">2026</x:t>
        </x:is>
      </x:c>
      <x:c r="G12" s="21" t="inlineStr">
        <x:is>
          <x:t xml:space="preserve">https://research.beincrypto.com/tokenization-2026-report-first-edition</x:t>
        </x:is>
      </x:c>
      <x:c r="H12" s="22" t="inlineStr">
        <x:is>
          <x:t xml:space="preserve">Use as market context, not revenue projection.</x:t>
        </x:is>
      </x:c>
    </x:row>
    <x:row r="13" s="4" customFormat="1" ht="15" customHeight="1">
      <x:c r="C13" s="20" t="inlineStr">
        <x:is>
          <x:t xml:space="preserve">UK promotion perimeter</x:t>
        </x:is>
      </x:c>
      <x:c r="D13" s="21" t="inlineStr">
        <x:is>
          <x:t xml:space="preserve">Cryptoasset marketing rules</x:t>
        </x:is>
      </x:c>
      <x:c r="E13" s="21" t="inlineStr">
        <x:is>
          <x:t xml:space="preserve">Regulatory</x:t>
        </x:is>
      </x:c>
      <x:c r="F13" s="21" t="inlineStr">
        <x:is>
          <x:t xml:space="preserve">Last checked 2026-09-05</x:t>
        </x:is>
      </x:c>
      <x:c r="G13" s="21" t="inlineStr">
        <x:is>
          <x:t xml:space="preserve">https://www.fca.org.uk/firms/cryptoassets/marketing-uk-consumers</x:t>
        </x:is>
      </x:c>
      <x:c r="H13" s="22" t="inlineStr">
        <x:is>
          <x:t xml:space="preserve">Counsel required before public opportunity language.</x:t>
        </x:is>
      </x:c>
    </x:row>
    <x:row r="14" s="4" customFormat="1" ht="15" customHeight="1">
      <x:c r="C14" s="20" t="inlineStr">
        <x:is>
          <x:t xml:space="preserve">Tokenized private-market / RWA context</x:t>
        </x:is>
      </x:c>
      <x:c r="D14" s="21" t="inlineStr">
        <x:is>
          <x:t xml:space="preserve">Long-term growth forecast</x:t>
        </x:is>
      </x:c>
      <x:c r="E14" s="21" t="inlineStr">
        <x:is>
          <x:t xml:space="preserve">Market context</x:t>
        </x:is>
      </x:c>
      <x:c r="F14" s="21" t="inlineStr">
        <x:is>
          <x:t xml:space="preserve">2025</x:t>
        </x:is>
      </x:c>
      <x:c r="G14" s="21" t="inlineStr">
        <x:is>
          <x:t xml:space="preserve">https://www.deloitte.com/us/en/insights/industry/financial-services/financial-services-industry-predictions/2025/tokenized-real-estate.html</x:t>
        </x:is>
      </x:c>
      <x:c r="H14" s="22" t="inlineStr">
        <x:is>
          <x:t xml:space="preserve">Context only, not GlemO forecast.</x:t>
        </x:is>
      </x:c>
    </x:row>
    <x:row r="15" s="4" customFormat="1" ht="15" customHeight="1">
      <x:c r="C15" s="20" t="inlineStr">
        <x:is>
          <x:t xml:space="preserve">AI/distribution context</x:t>
        </x:is>
      </x:c>
      <x:c r="D15" s="21" t="inlineStr">
        <x:is>
          <x:t xml:space="preserve">Distribution and AI as operating advantage</x:t>
        </x:is>
      </x:c>
      <x:c r="E15" s="21" t="inlineStr">
        <x:is>
          <x:t xml:space="preserve">Qualitative</x:t>
        </x:is>
      </x:c>
      <x:c r="F15" s="21" t="inlineStr">
        <x:is>
          <x:t xml:space="preserve">2026</x:t>
        </x:is>
      </x:c>
      <x:c r="G15" s="21" t="inlineStr">
        <x:is>
          <x:t xml:space="preserve">https://www.bcg.com/publications/2026/an-imperative-for-growth-and-the-new-economics-of-asset-management</x:t>
        </x:is>
      </x:c>
      <x:c r="H15" s="22" t="inlineStr">
        <x:is>
          <x:t xml:space="preserve">Supports AI-native operating thesis.</x:t>
        </x:is>
      </x:c>
    </x:row>
    <x:row r="16" s="4" customFormat="1" ht="15" customHeight="1">
      <x:c r="C16" s="23" t="inlineStr">
        <x:is>
          <x:t xml:space="preserve">Legal status</x:t>
        </x:is>
      </x:c>
      <x:c r="D16" s="24" t="inlineStr">
        <x:is>
          <x:t xml:space="preserve">Not legal advice</x:t>
        </x:is>
      </x:c>
      <x:c r="E16" s="24" t="inlineStr">
        <x:is>
          <x:t xml:space="preserve">Limitation</x:t>
        </x:is>
      </x:c>
      <x:c r="F16" s="24" t="inlineStr">
        <x:is>
          <x:t xml:space="preserve">Current</x:t>
        </x:is>
      </x:c>
      <x:c r="G16" s="24" t="inlineStr">
        <x:is>
          <x:t xml:space="preserve">Internal note</x:t>
        </x:is>
      </x:c>
      <x:c r="H16" s="25" t="inlineStr">
        <x:is>
          <x:t xml:space="preserve">Final counsel memos required.</x:t>
        </x:is>
      </x:c>
    </x:row>
    <x:row r="17">
      <x:c r="C17" s="72" t="str">
        <x:v>Minimum investor ticket</x:v>
      </x:c>
      <x:c r="D17" s="72" t="str">
        <x:v>250000</x:v>
      </x:c>
      <x:c r="E17" s="72" t="str">
        <x:v>USD</x:v>
      </x:c>
      <x:c r="F17" s="72" t="str">
        <x:v>2026-09</x:v>
      </x:c>
      <x:c r="G17" s="72" t="str">
        <x:v>Founder instruction</x:v>
      </x:c>
      <x:c r="H17" s="72" t="str">
        <x:v>Minimum accepted from one investor.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3" max="3" width="34" hidden="0" customWidth="1"/>
    <x:col min="4" max="4" width="15" hidden="0" customWidth="1"/>
    <x:col min="5" max="5" width="15" hidden="0" customWidth="1"/>
    <x:col min="6" max="6" width="15" hidden="0" customWidth="1"/>
    <x:col min="7" max="7" width="46" hidden="0" customWidth="1"/>
  </x:cols>
  <x:sheetData>
    <x:row r="1">
      <x:c r="C1" s="129"/>
      <x:c r="D1" s="129"/>
      <x:c r="E1" s="129"/>
      <x:c r="F1" s="129"/>
      <x:c r="G1" s="129"/>
    </x:row>
    <x:row r="2" ht="30" customHeight="1">
      <x:c r="C2" s="117" t="str">
        <x:v>GlemO Revenue Planning Case</x:v>
      </x:c>
      <x:c r="D2" s="117"/>
      <x:c r="E2" s="117"/>
      <x:c r="F2" s="117"/>
      <x:c r="G2" s="117"/>
    </x:row>
    <x:row r="3" ht="40" customHeight="1">
      <x:c r="C3" s="76" t="str">
        <x:v>Monthly ramp, separate institutional and SaaS cohorts, selected commercial case. Base excludes paid module tests and all token proceeds. Inputs are planning hypotheses, not customer commitments.</x:v>
      </x:c>
      <x:c r="D3" s="76"/>
      <x:c r="E3" s="76"/>
      <x:c r="F3" s="76"/>
      <x:c r="G3" s="76"/>
    </x:row>
    <x:row r="4" ht="40" customHeight="1">
      <x:c r="C4" s="76"/>
      <x:c r="D4" s="76"/>
      <x:c r="E4" s="76"/>
      <x:c r="F4" s="76"/>
      <x:c r="G4" s="76"/>
    </x:row>
    <x:row r="5">
      <x:c r="C5" s="130"/>
      <x:c r="D5" s="130"/>
      <x:c r="E5" s="130"/>
      <x:c r="F5" s="130"/>
      <x:c r="G5" s="130"/>
    </x:row>
    <x:row r="6">
      <x:c r="C6" s="119" t="str">
        <x:v>Revenue assumptions</x:v>
      </x:c>
      <x:c r="D6" s="119"/>
      <x:c r="E6" s="119"/>
      <x:c r="F6" s="119"/>
      <x:c r="G6" s="119"/>
    </x:row>
    <x:row r="7">
      <x:c r="C7" s="89" t="str">
        <x:v>Driver</x:v>
      </x:c>
      <x:c r="D7" s="90" t="str">
        <x:v>Year 1</x:v>
      </x:c>
      <x:c r="E7" s="90" t="str">
        <x:v>Year 2</x:v>
      </x:c>
      <x:c r="F7" s="90" t="str">
        <x:v>Year 3</x:v>
      </x:c>
      <x:c r="G7" s="91" t="str">
        <x:v>Basis</x:v>
      </x:c>
    </x:row>
    <x:row r="8">
      <x:c r="C8" s="130" t="str">
        <x:v>Institutions at year end</x:v>
      </x:c>
      <x:c r="D8" s="131" t="n">
        <x:f>'Monthly Revenue'!N10</x:f>
        <x:v>2</x:v>
      </x:c>
      <x:c r="E8" s="131" t="n">
        <x:f>'Monthly Revenue'!Z10</x:f>
        <x:v>4</x:v>
      </x:c>
      <x:c r="F8" s="131" t="n">
        <x:f>'Monthly Revenue'!AL10</x:f>
        <x:v>8</x:v>
      </x:c>
      <x:c r="G8" s="130" t="str">
        <x:v>Banks, regulated firms and asset originators</x:v>
      </x:c>
    </x:row>
    <x:row r="9">
      <x:c r="C9" s="130" t="str">
        <x:v>Annual platform fee / partner</x:v>
      </x:c>
      <x:c r="D9" s="132" t="n">
        <x:v>36000</x:v>
      </x:c>
      <x:c r="E9" s="132" t="n">
        <x:v>48000</x:v>
      </x:c>
      <x:c r="F9" s="132" t="n">
        <x:v>60000</x:v>
      </x:c>
      <x:c r="G9" s="130" t="str">
        <x:v>US$3k, US$4k and US$5k per month</x:v>
      </x:c>
    </x:row>
    <x:row r="10">
      <x:c r="C10" s="130" t="str">
        <x:v>New institutional partners</x:v>
      </x:c>
      <x:c r="D10" s="131" t="n">
        <x:f>SUM('Monthly Revenue'!C8:N8)</x:f>
        <x:v>2</x:v>
      </x:c>
      <x:c r="E10" s="131" t="n">
        <x:f>SUM('Monthly Revenue'!O8:Z8)</x:f>
        <x:v>2</x:v>
      </x:c>
      <x:c r="F10" s="131" t="n">
        <x:f>SUM('Monthly Revenue'!AA8:AL8)</x:f>
        <x:v>4</x:v>
      </x:c>
      <x:c r="G10" s="130" t="str">
        <x:v>Partners added in the year</x:v>
      </x:c>
    </x:row>
    <x:row r="11">
      <x:c r="C11" s="130" t="str">
        <x:v>One-time onboarding fee</x:v>
      </x:c>
      <x:c r="D11" s="132" t="n">
        <x:f>'Scenario Inputs'!$C$22</x:f>
        <x:v>15000</x:v>
      </x:c>
      <x:c r="E11" s="132" t="n">
        <x:f>'Scenario Inputs'!$C$22</x:f>
        <x:v>15000</x:v>
      </x:c>
      <x:c r="F11" s="132" t="n">
        <x:f>'Scenario Inputs'!$C$22</x:f>
        <x:v>15000</x:v>
      </x:c>
      <x:c r="G11" s="130" t="str">
        <x:v>Per new institutional partner</x:v>
      </x:c>
    </x:row>
    <x:row r="12">
      <x:c r="C12" s="130" t="str">
        <x:v>Completed routed transactions</x:v>
      </x:c>
      <x:c r="D12" s="131" t="n">
        <x:f>IF(D13=0,0,D27/D13)</x:f>
        <x:v>6</x:v>
      </x:c>
      <x:c r="E12" s="131" t="n">
        <x:f>IF(E13=0,0,E27/E13)</x:f>
        <x:v>20</x:v>
      </x:c>
      <x:c r="F12" s="131" t="n">
        <x:f>IF(F13=0,0,F27/F13)</x:f>
        <x:v>60</x:v>
      </x:c>
      <x:c r="G12" s="130" t="str">
        <x:v>Only completed and fee-eligible transactions</x:v>
      </x:c>
    </x:row>
    <x:row r="13">
      <x:c r="C13" s="130" t="str">
        <x:v>Average routed volume / transaction</x:v>
      </x:c>
      <x:c r="D13" s="132" t="n">
        <x:v>500000</x:v>
      </x:c>
      <x:c r="E13" s="132" t="n">
        <x:v>750000</x:v>
      </x:c>
      <x:c r="F13" s="132" t="n">
        <x:v>1000000</x:v>
      </x:c>
      <x:c r="G13" s="130" t="str">
        <x:v>Underlying asset transaction value</x:v>
      </x:c>
    </x:row>
    <x:row r="14">
      <x:c r="C14" s="130" t="str">
        <x:v>Transaction take rate</x:v>
      </x:c>
      <x:c r="D14" s="133" t="n">
        <x:v>0.0015</x:v>
      </x:c>
      <x:c r="E14" s="133" t="n">
        <x:v>0.0015</x:v>
      </x:c>
      <x:c r="F14" s="133" t="n">
        <x:v>0.0015</x:v>
      </x:c>
      <x:c r="G14" s="130" t="str">
        <x:v>0.15% base case; editable</x:v>
      </x:c>
    </x:row>
    <x:row r="15">
      <x:c r="C15" s="130" t="str">
        <x:v>Average standalone SaaS clients</x:v>
      </x:c>
      <x:c r="D15" s="131" t="n">
        <x:f>AVERAGE('Monthly Revenue'!C14:N14)</x:f>
        <x:v>1.6666666666666667</x:v>
      </x:c>
      <x:c r="E15" s="131" t="n">
        <x:f>AVERAGE('Monthly Revenue'!O14:Z14)</x:f>
        <x:v>10.833333333333334</x:v>
      </x:c>
      <x:c r="F15" s="131" t="n">
        <x:f>AVERAGE('Monthly Revenue'!AA14:AL14)</x:f>
        <x:v>28.083333333333332</x:v>
      </x:c>
      <x:c r="G15" s="130" t="str">
        <x:v>Average paying accounts during the year</x:v>
      </x:c>
    </x:row>
    <x:row r="16">
      <x:c r="C16" s="130" t="str">
        <x:v>Enterprise SaaS monthly fee</x:v>
      </x:c>
      <x:c r="D16" s="132" t="n">
        <x:v>990</x:v>
      </x:c>
      <x:c r="E16" s="132" t="n">
        <x:v>990</x:v>
      </x:c>
      <x:c r="F16" s="132" t="n">
        <x:v>990</x:v>
      </x:c>
      <x:c r="G16" s="130" t="str">
        <x:v>Current product assumption</x:v>
      </x:c>
    </x:row>
    <x:row r="17">
      <x:c r="C17" s="130" t="str">
        <x:v>Ecosystem modules tested</x:v>
      </x:c>
      <x:c r="D17" s="131" t="n">
        <x:v>20</x:v>
      </x:c>
      <x:c r="E17" s="131" t="n">
        <x:v>40</x:v>
      </x:c>
      <x:c r="F17" s="131" t="n">
        <x:v>80</x:v>
      </x:c>
      <x:c r="G17" s="130" t="str">
        <x:v>Upside-only paid test hypothesis; excluded from base</x:v>
      </x:c>
    </x:row>
    <x:row r="18">
      <x:c r="C18" s="130" t="str">
        <x:v>Paid testers / module</x:v>
      </x:c>
      <x:c r="D18" s="131" t="n">
        <x:v>10</x:v>
      </x:c>
      <x:c r="E18" s="131" t="n">
        <x:v>10</x:v>
      </x:c>
      <x:c r="F18" s="131" t="n">
        <x:v>10</x:v>
      </x:c>
      <x:c r="G18" s="130" t="str">
        <x:v>Demand validation cohort</x:v>
      </x:c>
    </x:row>
    <x:row r="19">
      <x:c r="C19" s="130" t="str">
        <x:v>Monthly module fee</x:v>
      </x:c>
      <x:c r="D19" s="132" t="n">
        <x:v>50</x:v>
      </x:c>
      <x:c r="E19" s="132" t="n">
        <x:v>50</x:v>
      </x:c>
      <x:c r="F19" s="132" t="n">
        <x:v>50</x:v>
      </x:c>
      <x:c r="G19" s="130" t="str">
        <x:v>Average paid test price</x:v>
      </x:c>
    </x:row>
    <x:row r="20">
      <x:c r="C20" s="130" t="str">
        <x:v>Paid module months (selected case)</x:v>
      </x:c>
      <x:c r="D20" s="131" t="n">
        <x:f>COUNTIFS('Monthly Revenue'!C23:N23,"&gt;0")</x:f>
        <x:v>0</x:v>
      </x:c>
      <x:c r="E20" s="131" t="n">
        <x:f>COUNTIFS('Monthly Revenue'!O23:Z23,"&gt;0")</x:f>
        <x:v>0</x:v>
      </x:c>
      <x:c r="F20" s="131" t="n">
        <x:f>COUNTIFS('Monthly Revenue'!AA23:AL23,"&gt;0")</x:f>
        <x:v>0</x:v>
      </x:c>
      <x:c r="G20" s="130" t="str">
        <x:v>Zero in base; upside no earlier than month 19</x:v>
      </x:c>
    </x:row>
    <x:row r="21">
      <x:c r="C21" s="130" t="str">
        <x:v>Contribution margin provision</x:v>
      </x:c>
      <x:c r="D21" s="134" t="n">
        <x:f>1-'Scenario Inputs'!C23</x:f>
        <x:v>0.55</x:v>
      </x:c>
      <x:c r="E21" s="134" t="n">
        <x:f>1-'Scenario Inputs'!C24</x:f>
        <x:v>0.6</x:v>
      </x:c>
      <x:c r="F21" s="134" t="n">
        <x:f>1-'Scenario Inputs'!C25</x:f>
        <x:v>0.65</x:v>
      </x:c>
      <x:c r="G21" s="130" t="str">
        <x:v>Unvalidated incremental cost allowance; fixed infrastructure excluded</x:v>
      </x:c>
    </x:row>
    <x:row r="22">
      <x:c r="C22" s="130"/>
      <x:c r="D22" s="130"/>
      <x:c r="E22" s="130"/>
      <x:c r="F22" s="130"/>
      <x:c r="G22" s="130"/>
    </x:row>
    <x:row r="23">
      <x:c r="C23" s="119" t="str">
        <x:v>Revenue build</x:v>
      </x:c>
      <x:c r="D23" s="119"/>
      <x:c r="E23" s="119"/>
      <x:c r="F23" s="119"/>
      <x:c r="G23" s="119"/>
    </x:row>
    <x:row r="24">
      <x:c r="C24" s="89" t="str">
        <x:v>Revenue line</x:v>
      </x:c>
      <x:c r="D24" s="90" t="str">
        <x:v>Year 1</x:v>
      </x:c>
      <x:c r="E24" s="90" t="str">
        <x:v>Year 2</x:v>
      </x:c>
      <x:c r="F24" s="90" t="str">
        <x:v>Year 3</x:v>
      </x:c>
      <x:c r="G24" s="91" t="str">
        <x:v>Calculation</x:v>
      </x:c>
    </x:row>
    <x:row r="25">
      <x:c r="C25" s="130" t="str">
        <x:v>Institutional recurring fees</x:v>
      </x:c>
      <x:c r="D25" s="135" t="n">
        <x:f>SUM('Monthly Revenue'!C15:N15)</x:f>
        <x:v>27000</x:v>
      </x:c>
      <x:c r="E25" s="135" t="n">
        <x:f>SUM('Monthly Revenue'!O15:Z15)</x:f>
        <x:v>152000</x:v>
      </x:c>
      <x:c r="F25" s="135" t="n">
        <x:f>SUM('Monthly Revenue'!AA15:AL15)</x:f>
        <x:v>350000</x:v>
      </x:c>
      <x:c r="G25" s="130" t="str">
        <x:v>Sum of active partner-months x monthly fee</x:v>
      </x:c>
    </x:row>
    <x:row r="26">
      <x:c r="C26" s="130" t="str">
        <x:v>Institutional onboarding fees</x:v>
      </x:c>
      <x:c r="D26" s="135" t="n">
        <x:f>SUM('Monthly Revenue'!C16:N16)</x:f>
        <x:v>30000</x:v>
      </x:c>
      <x:c r="E26" s="135" t="n">
        <x:f>SUM('Monthly Revenue'!O16:Z16)</x:f>
        <x:v>30000</x:v>
      </x:c>
      <x:c r="F26" s="135" t="n">
        <x:f>SUM('Monthly Revenue'!AA16:AL16)</x:f>
        <x:v>60000</x:v>
      </x:c>
      <x:c r="G26" s="130" t="str">
        <x:v>New partners x onboarding fee</x:v>
      </x:c>
    </x:row>
    <x:row r="27">
      <x:c r="C27" s="130" t="str">
        <x:v>Routed transaction volume</x:v>
      </x:c>
      <x:c r="D27" s="135" t="n">
        <x:f>SUM('Monthly Revenue'!C17:N17)</x:f>
        <x:v>3000000</x:v>
      </x:c>
      <x:c r="E27" s="135" t="n">
        <x:f>SUM('Monthly Revenue'!O17:Z17)</x:f>
        <x:v>15000000</x:v>
      </x:c>
      <x:c r="F27" s="135" t="n">
        <x:f>SUM('Monthly Revenue'!AA17:AL17)</x:f>
        <x:v>60000000</x:v>
      </x:c>
      <x:c r="G27" s="130" t="str">
        <x:v>Transactions x average volume</x:v>
      </x:c>
    </x:row>
    <x:row r="28">
      <x:c r="C28" s="130" t="str">
        <x:v>Transaction fees</x:v>
      </x:c>
      <x:c r="D28" s="135" t="n">
        <x:f>SUM('Monthly Revenue'!C18:N18)</x:f>
        <x:v>4500</x:v>
      </x:c>
      <x:c r="E28" s="135" t="n">
        <x:f>SUM('Monthly Revenue'!O18:Z18)</x:f>
        <x:v>22500</x:v>
      </x:c>
      <x:c r="F28" s="135" t="n">
        <x:f>SUM('Monthly Revenue'!AA18:AL18)</x:f>
        <x:v>90000</x:v>
      </x:c>
      <x:c r="G28" s="130" t="str">
        <x:v>Routed volume x take rate</x:v>
      </x:c>
    </x:row>
    <x:row r="29">
      <x:c r="C29" s="130" t="str">
        <x:v>Enterprise SaaS revenue</x:v>
      </x:c>
      <x:c r="D29" s="135" t="n">
        <x:f>SUM('Monthly Revenue'!C19:N19)</x:f>
        <x:v>19800</x:v>
      </x:c>
      <x:c r="E29" s="135" t="n">
        <x:f>SUM('Monthly Revenue'!O19:Z19)</x:f>
        <x:v>128700</x:v>
      </x:c>
      <x:c r="F29" s="135" t="n">
        <x:f>SUM('Monthly Revenue'!AA19:AL19)</x:f>
        <x:v>333630</x:v>
      </x:c>
      <x:c r="G29" s="130" t="str">
        <x:v>Separate SaaS accounts x active months x fee</x:v>
      </x:c>
    </x:row>
    <x:row r="30">
      <x:c r="C30" s="130" t="str">
        <x:v>Ecosystem-module test revenue</x:v>
      </x:c>
      <x:c r="D30" s="135" t="n">
        <x:f>SUM('Monthly Revenue'!C23:N23)</x:f>
        <x:v>0</x:v>
      </x:c>
      <x:c r="E30" s="135" t="n">
        <x:f>SUM('Monthly Revenue'!O23:Z23)</x:f>
        <x:v>0</x:v>
      </x:c>
      <x:c r="F30" s="135" t="n">
        <x:f>SUM('Monthly Revenue'!AA23:AL23)</x:f>
        <x:v>0</x:v>
      </x:c>
      <x:c r="G30" s="130" t="str">
        <x:v>Upside only, from month 19 after core proof</x:v>
      </x:c>
    </x:row>
    <x:row r="31">
      <x:c r="C31" s="136" t="str">
        <x:v>Total revenue</x:v>
      </x:c>
      <x:c r="D31" s="137" t="n">
        <x:f>SUM('Monthly Revenue'!C20:N20)</x:f>
        <x:v>81300</x:v>
      </x:c>
      <x:c r="E31" s="137" t="n">
        <x:f>SUM('Monthly Revenue'!O20:Z20)</x:f>
        <x:v>333200</x:v>
      </x:c>
      <x:c r="F31" s="137" t="n">
        <x:f>SUM('Monthly Revenue'!AA20:AL20)</x:f>
        <x:v>833630</x:v>
      </x:c>
      <x:c r="G31" s="136" t="str">
        <x:v>Sum of revenue lines</x:v>
      </x:c>
    </x:row>
    <x:row r="32">
      <x:c r="C32" s="130" t="str">
        <x:v>Incremental delivery cost provision</x:v>
      </x:c>
      <x:c r="D32" s="135" t="n">
        <x:f>SUM('Monthly Revenue'!C21:N21)</x:f>
        <x:v>36585</x:v>
      </x:c>
      <x:c r="E32" s="135" t="n">
        <x:f>SUM('Monthly Revenue'!O21:Z21)</x:f>
        <x:v>133280</x:v>
      </x:c>
      <x:c r="F32" s="135" t="n">
        <x:f>SUM('Monthly Revenue'!AA21:AL21)</x:f>
        <x:v>291770.5</x:v>
      </x:c>
      <x:c r="G32" s="130" t="str">
        <x:v>Incremental cost allowance; fixed infra excluded</x:v>
      </x:c>
    </x:row>
    <x:row r="33">
      <x:c r="C33" s="138" t="str">
        <x:v>Contribution before fixed deployment</x:v>
      </x:c>
      <x:c r="D33" s="139" t="n">
        <x:f>SUM('Monthly Revenue'!C22:N22)</x:f>
        <x:v>44715</x:v>
      </x:c>
      <x:c r="E33" s="139" t="n">
        <x:f>SUM('Monthly Revenue'!O22:Z22)</x:f>
        <x:v>199920</x:v>
      </x:c>
      <x:c r="F33" s="139" t="n">
        <x:f>SUM('Monthly Revenue'!AA22:AL22)</x:f>
        <x:v>541859.5</x:v>
      </x:c>
      <x:c r="G33" s="138" t="str">
        <x:v>Revenue - cost of revenue</x:v>
      </x:c>
    </x:row>
    <x:row r="34">
      <x:c r="C34" s="130"/>
      <x:c r="D34" s="130"/>
      <x:c r="E34" s="130"/>
      <x:c r="F34" s="130"/>
      <x:c r="G34" s="130"/>
    </x:row>
    <x:row r="35">
      <x:c r="C35" s="105" t="str">
        <x:v>Unvalidated commercial plan. Base excludes module tests. Incremental cost ratios are provisional allowances, not measured margins. Reconcile actual human review, API, KYC and delivery costs before underwriting scale.</x:v>
      </x:c>
      <x:c r="D35" s="105"/>
      <x:c r="E35" s="105"/>
      <x:c r="F35" s="105"/>
      <x:c r="G35" s="105"/>
    </x:row>
    <x:row r="36">
      <x:c r="C36" s="105"/>
      <x:c r="D36" s="105"/>
      <x:c r="E36" s="105"/>
      <x:c r="F36" s="105"/>
      <x:c r="G36" s="105"/>
    </x:row>
  </x:sheetData>
  <x:mergeCells>
    <x:mergeCell ref="C2:G2"/>
    <x:mergeCell ref="C3:G4"/>
    <x:mergeCell ref="C6:G6"/>
    <x:mergeCell ref="C23:G23"/>
    <x:mergeCell ref="C35:G36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3" max="3" width="34" hidden="0" customWidth="1"/>
    <x:col min="4" max="4" width="15" hidden="0" customWidth="1"/>
    <x:col min="5" max="5" width="15" hidden="0" customWidth="1"/>
    <x:col min="6" max="6" width="15" hidden="0" customWidth="1"/>
    <x:col min="7" max="7" width="46" hidden="0" customWidth="1"/>
  </x:cols>
  <x:sheetData>
    <x:row r="1">
      <x:c r="C1" s="129"/>
      <x:c r="D1" s="129"/>
      <x:c r="E1" s="129"/>
      <x:c r="F1" s="129"/>
      <x:c r="G1" s="129"/>
    </x:row>
    <x:row r="2" ht="30" customHeight="1">
      <x:c r="C2" s="117" t="str">
        <x:v>GlemO Three-Year Financial Projection</x:v>
      </x:c>
      <x:c r="D2" s="117"/>
      <x:c r="E2" s="117"/>
      <x:c r="F2" s="117"/>
      <x:c r="G2" s="117"/>
    </x:row>
    <x:row r="3" ht="40" customHeight="1">
      <x:c r="C3" s="76" t="str">
        <x:v>Planning view linked to monthly collections and deployment. Cash is pre-tax until tax/other obligations are confirmed. The result below is cash-deployment based, not accounting EBITDA.</x:v>
      </x:c>
      <x:c r="D3" s="76"/>
      <x:c r="E3" s="76"/>
      <x:c r="F3" s="76"/>
      <x:c r="G3" s="76"/>
    </x:row>
    <x:row r="4" ht="40" customHeight="1">
      <x:c r="C4" s="76"/>
      <x:c r="D4" s="76"/>
      <x:c r="E4" s="76"/>
      <x:c r="F4" s="76"/>
      <x:c r="G4" s="76"/>
    </x:row>
    <x:row r="5">
      <x:c r="C5" s="130"/>
      <x:c r="D5" s="130"/>
      <x:c r="E5" s="130"/>
      <x:c r="F5" s="130"/>
      <x:c r="G5" s="130"/>
    </x:row>
    <x:row r="6">
      <x:c r="C6" s="89" t="str">
        <x:v>Metric</x:v>
      </x:c>
      <x:c r="D6" s="90" t="str">
        <x:v>Year 1</x:v>
      </x:c>
      <x:c r="E6" s="90" t="str">
        <x:v>Year 2</x:v>
      </x:c>
      <x:c r="F6" s="91" t="str">
        <x:v>Year 3</x:v>
      </x:c>
      <x:c r="G6" s="130"/>
    </x:row>
    <x:row r="7">
      <x:c r="C7" s="130" t="str">
        <x:v>Revenue</x:v>
      </x:c>
      <x:c r="D7" s="135" t="n">
        <x:f>'Revenue Model'!D31</x:f>
        <x:v>81300</x:v>
      </x:c>
      <x:c r="E7" s="135" t="n">
        <x:f>'Revenue Model'!E31</x:f>
        <x:v>333200</x:v>
      </x:c>
      <x:c r="F7" s="135" t="n">
        <x:f>'Revenue Model'!F31</x:f>
        <x:v>833630</x:v>
      </x:c>
      <x:c r="G7" s="130"/>
    </x:row>
    <x:row r="8">
      <x:c r="C8" s="130" t="str">
        <x:v>Incremental delivery provision</x:v>
      </x:c>
      <x:c r="D8" s="135" t="n">
        <x:f>'Revenue Model'!D32</x:f>
        <x:v>36585</x:v>
      </x:c>
      <x:c r="E8" s="135" t="n">
        <x:f>'Revenue Model'!E32</x:f>
        <x:v>133280</x:v>
      </x:c>
      <x:c r="F8" s="135" t="n">
        <x:f>'Revenue Model'!F32</x:f>
        <x:v>291770.5</x:v>
      </x:c>
      <x:c r="G8" s="130"/>
    </x:row>
    <x:row r="9">
      <x:c r="C9" s="138" t="str">
        <x:v>Contribution before fixed deployment</x:v>
      </x:c>
      <x:c r="D9" s="139" t="n">
        <x:f>'Revenue Model'!D33</x:f>
        <x:v>44715</x:v>
      </x:c>
      <x:c r="E9" s="139" t="n">
        <x:f>'Revenue Model'!E33</x:f>
        <x:v>199920</x:v>
      </x:c>
      <x:c r="F9" s="139" t="n">
        <x:f>'Revenue Model'!F33</x:f>
        <x:v>541859.5</x:v>
      </x:c>
      <x:c r="G9" s="130"/>
    </x:row>
    <x:row r="10">
      <x:c r="C10" s="130" t="str">
        <x:v>Gross margin</x:v>
      </x:c>
      <x:c r="D10" s="144" t="n">
        <x:f>'Revenue Model'!D21</x:f>
        <x:v>0.55</x:v>
      </x:c>
      <x:c r="E10" s="144" t="n">
        <x:f>'Revenue Model'!E21</x:f>
        <x:v>0.6</x:v>
      </x:c>
      <x:c r="F10" s="144" t="n">
        <x:f>'Revenue Model'!F21</x:f>
        <x:v>0.65</x:v>
      </x:c>
      <x:c r="G10" s="130"/>
    </x:row>
    <x:row r="11">
      <x:c r="C11" s="130" t="str">
        <x:v>Operating deployment spend</x:v>
      </x:c>
      <x:c r="D11" s="135" t="n">
        <x:f>SUM('Monthly Burn'!C17:N17)</x:f>
        <x:v>718994.0000000001</x:v>
      </x:c>
      <x:c r="E11" s="135" t="n">
        <x:f>SUM('Monthly Burn'!O17:Z17)</x:f>
        <x:v>759006.0000000001</x:v>
      </x:c>
      <x:c r="F11" s="132" t="n">
        <x:f>SUM('Monthly Burn'!AA17:AL17)</x:f>
        <x:v>1200000</x:v>
      </x:c>
      <x:c r="G11" s="130"/>
    </x:row>
    <x:row r="12">
      <x:c r="C12" s="145" t="str">
        <x:v>Contribution less cash deployment</x:v>
      </x:c>
      <x:c r="D12" s="146" t="n">
        <x:f>D9-D11</x:f>
        <x:v>-674279.0000000001</x:v>
      </x:c>
      <x:c r="E12" s="146" t="n">
        <x:f>E9-E11</x:f>
        <x:v>-559086.0000000001</x:v>
      </x:c>
      <x:c r="F12" s="146" t="n">
        <x:f>F9-F11</x:f>
        <x:v>-658140.5</x:v>
      </x:c>
      <x:c r="G12" s="130"/>
    </x:row>
    <x:row r="13">
      <x:c r="C13" s="130" t="str">
        <x:v>Opening cash</x:v>
      </x:c>
      <x:c r="D13" s="135" t="n">
        <x:f>CHOOSE('Scenario Inputs'!C19,'Assumptions'!D8,'Assumptions'!E8)</x:f>
        <x:v>2000000</x:v>
      </x:c>
      <x:c r="E13" s="135" t="n">
        <x:f>D16</x:f>
        <x:v>1313271.0000000005</x:v>
      </x:c>
      <x:c r="F13" s="135" t="n">
        <x:f>E16</x:f>
        <x:v>733535.0000000006</x:v>
      </x:c>
      <x:c r="G13" s="130"/>
    </x:row>
    <x:row r="14">
      <x:c r="C14" s="130" t="str">
        <x:v>External financing</x:v>
      </x:c>
      <x:c r="D14" s="135" t="n">
        <x:v>0</x:v>
      </x:c>
      <x:c r="E14" s="135" t="n">
        <x:v>0</x:v>
      </x:c>
      <x:c r="F14" s="135" t="n">
        <x:v>0</x:v>
      </x:c>
      <x:c r="G14" s="130"/>
    </x:row>
    <x:row r="15">
      <x:c r="C15" s="130" t="str">
        <x:v>Net cash movement</x:v>
      </x:c>
      <x:c r="D15" s="135" t="n">
        <x:f>SUM('Monthly Burn'!C27:N27)</x:f>
        <x:v>-686729.0000000001</x:v>
      </x:c>
      <x:c r="E15" s="135" t="n">
        <x:f>SUM('Monthly Burn'!O27:Z27)</x:f>
        <x:v>-579736</x:v>
      </x:c>
      <x:c r="F15" s="135" t="n">
        <x:f>SUM('Monthly Burn'!AA27:AL27)</x:f>
        <x:v>-727140.5</x:v>
      </x:c>
      <x:c r="G15" s="130"/>
    </x:row>
    <x:row r="16">
      <x:c r="C16" s="136" t="str">
        <x:v>Ending pre-tax cash</x:v>
      </x:c>
      <x:c r="D16" s="137" t="n">
        <x:f>'Monthly Burn'!N28</x:f>
        <x:v>1313271.0000000005</x:v>
      </x:c>
      <x:c r="E16" s="137" t="n">
        <x:f>'Monthly Burn'!Z28</x:f>
        <x:v>733535.0000000006</x:v>
      </x:c>
      <x:c r="F16" s="137" t="n">
        <x:f>'Monthly Burn'!AL28</x:f>
        <x:v>6394.500000000582</x:v>
      </x:c>
      <x:c r="G16" s="130"/>
    </x:row>
    <x:row r="17">
      <x:c r="C17" s="130" t="str">
        <x:v>Completed routed volume</x:v>
      </x:c>
      <x:c r="D17" s="135" t="n">
        <x:f>'Revenue Model'!D27</x:f>
        <x:v>3000000</x:v>
      </x:c>
      <x:c r="E17" s="135" t="n">
        <x:f>'Revenue Model'!E27</x:f>
        <x:v>15000000</x:v>
      </x:c>
      <x:c r="F17" s="135" t="n">
        <x:f>'Revenue Model'!F27</x:f>
        <x:v>60000000</x:v>
      </x:c>
      <x:c r="G17" s="130"/>
    </x:row>
    <x:row r="18">
      <x:c r="C18" s="130" t="str">
        <x:v>Enterprise SaaS average clients</x:v>
      </x:c>
      <x:c r="D18" s="147" t="n">
        <x:f>'Revenue Model'!D15</x:f>
        <x:v>1.6666666666666667</x:v>
      </x:c>
      <x:c r="E18" s="147" t="n">
        <x:f>'Revenue Model'!E15</x:f>
        <x:v>10.833333333333334</x:v>
      </x:c>
      <x:c r="F18" s="147" t="n">
        <x:f>'Revenue Model'!F15</x:f>
        <x:v>28.083333333333332</x:v>
      </x:c>
      <x:c r="G18" s="130"/>
    </x:row>
    <x:row r="19">
      <x:c r="C19" s="130"/>
      <x:c r="D19" s="130"/>
      <x:c r="E19" s="130"/>
      <x:c r="F19" s="130"/>
      <x:c r="G19" s="130"/>
    </x:row>
    <x:row r="20">
      <x:c r="C20" s="105" t="str">
        <x:v>No token proceeds, deposit recovery or new fundraising assumed. Customer receipts lag revenue. Cash allowance defaults to unconfirmed zero and is not a tax conclusion. Year 3 fixed deployment is a planning envelope, not a headcount plan.</x:v>
      </x:c>
      <x:c r="D20" s="105"/>
      <x:c r="E20" s="105"/>
      <x:c r="F20" s="105"/>
      <x:c r="G20" s="105"/>
    </x:row>
    <x:row r="21">
      <x:c r="C21" s="105"/>
      <x:c r="D21" s="105"/>
      <x:c r="E21" s="105"/>
      <x:c r="F21" s="105"/>
      <x:c r="G21" s="105"/>
    </x:row>
    <x:row r="22">
      <x:c r="C22" s="105"/>
      <x:c r="D22" s="105"/>
      <x:c r="E22" s="105"/>
      <x:c r="F22" s="105"/>
      <x:c r="G22" s="105"/>
    </x:row>
  </x:sheetData>
  <x:mergeCells>
    <x:mergeCell ref="C2:G2"/>
    <x:mergeCell ref="C3:G4"/>
    <x:mergeCell ref="C20:G2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2" max="2" width="39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14" hidden="0" customWidth="1"/>
    <x:col min="33" max="33" width="14" hidden="0" customWidth="1"/>
    <x:col min="34" max="34" width="14" hidden="0" customWidth="1"/>
    <x:col min="35" max="35" width="14" hidden="0" customWidth="1"/>
    <x:col min="36" max="36" width="14" hidden="0" customWidth="1"/>
    <x:col min="37" max="37" width="14" hidden="0" customWidth="1"/>
    <x:col min="38" max="38" width="14" hidden="0" customWidth="1"/>
  </x:cols>
  <x:sheetData>
    <x:row r="1">
      <x:c r="B1" s="115"/>
      <x:c r="C1" s="115"/>
      <x:c r="D1" s="115"/>
      <x:c r="E1" s="115"/>
      <x:c r="F1" s="115"/>
      <x:c r="G1" s="115"/>
      <x:c r="H1" s="115"/>
      <x:c r="I1" s="115"/>
      <x:c r="J1" s="115"/>
      <x:c r="K1" s="115"/>
      <x:c r="L1" s="115"/>
      <x:c r="M1" s="115"/>
      <x:c r="N1" s="115"/>
      <x:c r="O1" s="115"/>
      <x:c r="P1" s="115"/>
      <x:c r="Q1" s="115"/>
      <x:c r="R1" s="115"/>
      <x:c r="S1" s="115"/>
      <x:c r="T1" s="115"/>
      <x:c r="U1" s="115"/>
      <x:c r="V1" s="115"/>
      <x:c r="W1" s="115"/>
      <x:c r="X1" s="115"/>
      <x:c r="Y1" s="115"/>
      <x:c r="Z1" s="115"/>
      <x:c r="AA1" s="115"/>
      <x:c r="AB1" s="115"/>
      <x:c r="AC1" s="115"/>
      <x:c r="AD1" s="115"/>
      <x:c r="AE1" s="115"/>
      <x:c r="AF1" s="115"/>
      <x:c r="AG1" s="115"/>
      <x:c r="AH1" s="115"/>
      <x:c r="AI1" s="115"/>
      <x:c r="AJ1" s="115"/>
      <x:c r="AK1" s="115"/>
      <x:c r="AL1" s="115"/>
    </x:row>
    <x:row r="2" ht="30" customHeight="1">
      <x:c r="B2" s="149" t="str">
        <x:v>Scenario inputs and launch gates</x:v>
      </x:c>
      <x:c r="C2" s="149"/>
      <x:c r="D2" s="149"/>
      <x:c r="E2" s="149"/>
      <x:c r="F2" s="149"/>
      <x:c r="G2" s="149"/>
      <x:c r="H2" s="149"/>
      <x:c r="I2" s="115"/>
      <x:c r="J2" s="115"/>
      <x:c r="K2" s="115"/>
      <x:c r="L2" s="115"/>
      <x:c r="M2" s="115"/>
      <x:c r="N2" s="115"/>
      <x:c r="O2" s="115"/>
      <x:c r="P2" s="115"/>
      <x:c r="Q2" s="115"/>
      <x:c r="R2" s="115"/>
      <x:c r="S2" s="115"/>
      <x:c r="T2" s="115"/>
      <x:c r="U2" s="115"/>
      <x:c r="V2" s="115"/>
      <x:c r="W2" s="115"/>
      <x:c r="X2" s="115"/>
      <x:c r="Y2" s="115"/>
      <x:c r="Z2" s="115"/>
      <x:c r="AA2" s="115"/>
      <x:c r="AB2" s="115"/>
      <x:c r="AC2" s="115"/>
      <x:c r="AD2" s="115"/>
      <x:c r="AE2" s="115"/>
      <x:c r="AF2" s="115"/>
      <x:c r="AG2" s="115"/>
      <x:c r="AH2" s="115"/>
      <x:c r="AI2" s="115"/>
      <x:c r="AJ2" s="115"/>
      <x:c r="AK2" s="115"/>
      <x:c r="AL2" s="115"/>
    </x:row>
    <x:row r="3" ht="22" customHeight="1">
      <x:c r="B3" s="152" t="str">
        <x:v>SAFE (BVI), 20% discount. Token warrant (Cayman Islands). UAE buyers and sellers first. No signed pilots. Cases: 1 base, 2 stress, 3 module upside. Gate month 0 holds cash. Detailed legal structuring follows funding.</x:v>
      </x:c>
      <x:c r="C3" s="152"/>
      <x:c r="D3" s="152"/>
      <x:c r="E3" s="152"/>
      <x:c r="F3" s="152"/>
      <x:c r="G3" s="152"/>
      <x:c r="H3" s="152"/>
      <x:c r="I3" s="115"/>
      <x:c r="J3" s="115"/>
      <x:c r="K3" s="115"/>
      <x:c r="L3" s="115"/>
      <x:c r="M3" s="115"/>
      <x:c r="N3" s="115"/>
      <x:c r="O3" s="115"/>
      <x:c r="P3" s="115"/>
      <x:c r="Q3" s="115"/>
      <x:c r="R3" s="115"/>
      <x:c r="S3" s="115"/>
      <x:c r="T3" s="115"/>
      <x:c r="U3" s="115"/>
      <x:c r="V3" s="115"/>
      <x:c r="W3" s="115"/>
      <x:c r="X3" s="115"/>
      <x:c r="Y3" s="115"/>
      <x:c r="Z3" s="115"/>
      <x:c r="AA3" s="115"/>
      <x:c r="AB3" s="115"/>
      <x:c r="AC3" s="115"/>
      <x:c r="AD3" s="115"/>
      <x:c r="AE3" s="115"/>
      <x:c r="AF3" s="115"/>
      <x:c r="AG3" s="115"/>
      <x:c r="AH3" s="115"/>
      <x:c r="AI3" s="115"/>
      <x:c r="AJ3" s="115"/>
      <x:c r="AK3" s="115"/>
      <x:c r="AL3" s="115"/>
    </x:row>
    <x:row r="4" ht="22" customHeight="1">
      <x:c r="B4" s="152"/>
      <x:c r="C4" s="152"/>
      <x:c r="D4" s="152"/>
      <x:c r="E4" s="152"/>
      <x:c r="F4" s="152"/>
      <x:c r="G4" s="152"/>
      <x:c r="H4" s="152"/>
      <x:c r="I4" s="115"/>
      <x:c r="J4" s="115"/>
      <x:c r="K4" s="115"/>
      <x:c r="L4" s="115"/>
      <x:c r="M4" s="115"/>
      <x:c r="N4" s="115"/>
      <x:c r="O4" s="115"/>
      <x:c r="P4" s="115"/>
      <x:c r="Q4" s="115"/>
      <x:c r="R4" s="115"/>
      <x:c r="S4" s="115"/>
      <x:c r="T4" s="115"/>
      <x:c r="U4" s="115"/>
      <x:c r="V4" s="115"/>
      <x:c r="W4" s="115"/>
      <x:c r="X4" s="115"/>
      <x:c r="Y4" s="115"/>
      <x:c r="Z4" s="115"/>
      <x:c r="AA4" s="115"/>
      <x:c r="AB4" s="115"/>
      <x:c r="AC4" s="115"/>
      <x:c r="AD4" s="115"/>
      <x:c r="AE4" s="115"/>
      <x:c r="AF4" s="115"/>
      <x:c r="AG4" s="115"/>
      <x:c r="AH4" s="115"/>
      <x:c r="AI4" s="115"/>
      <x:c r="AJ4" s="115"/>
      <x:c r="AK4" s="115"/>
      <x:c r="AL4" s="115"/>
    </x:row>
    <x:row r="5" ht="22" customHeight="1">
      <x:c r="B5" s="152"/>
      <x:c r="C5" s="152"/>
      <x:c r="D5" s="152"/>
      <x:c r="E5" s="152"/>
      <x:c r="F5" s="152"/>
      <x:c r="G5" s="152"/>
      <x:c r="H5" s="152"/>
      <x:c r="I5" s="115"/>
      <x:c r="J5" s="115"/>
      <x:c r="K5" s="115"/>
      <x:c r="L5" s="115"/>
      <x:c r="M5" s="115"/>
      <x:c r="N5" s="115"/>
      <x:c r="O5" s="115"/>
      <x:c r="P5" s="115"/>
      <x:c r="Q5" s="115"/>
      <x:c r="R5" s="115"/>
      <x:c r="S5" s="115"/>
      <x:c r="T5" s="115"/>
      <x:c r="U5" s="115"/>
      <x:c r="V5" s="115"/>
      <x:c r="W5" s="115"/>
      <x:c r="X5" s="115"/>
      <x:c r="Y5" s="115"/>
      <x:c r="Z5" s="115"/>
      <x:c r="AA5" s="115"/>
      <x:c r="AB5" s="115"/>
      <x:c r="AC5" s="115"/>
      <x:c r="AD5" s="115"/>
      <x:c r="AE5" s="115"/>
      <x:c r="AF5" s="115"/>
      <x:c r="AG5" s="115"/>
      <x:c r="AH5" s="115"/>
      <x:c r="AI5" s="115"/>
      <x:c r="AJ5" s="115"/>
      <x:c r="AK5" s="115"/>
      <x:c r="AL5" s="115"/>
    </x:row>
    <x:row r="6">
      <x:c r="B6" s="115"/>
      <x:c r="C6" s="115"/>
      <x:c r="D6" s="115"/>
      <x:c r="E6" s="115"/>
      <x:c r="F6" s="115"/>
      <x:c r="G6" s="115"/>
      <x:c r="H6" s="115"/>
      <x:c r="I6" s="115"/>
      <x:c r="J6" s="115"/>
      <x:c r="K6" s="115"/>
      <x:c r="L6" s="115"/>
      <x:c r="M6" s="115"/>
      <x:c r="N6" s="115"/>
      <x:c r="O6" s="115"/>
      <x:c r="P6" s="115"/>
      <x:c r="Q6" s="115"/>
      <x:c r="R6" s="115"/>
      <x:c r="S6" s="115"/>
      <x:c r="T6" s="115"/>
      <x:c r="U6" s="115"/>
      <x:c r="V6" s="115"/>
      <x:c r="W6" s="115"/>
      <x:c r="X6" s="115"/>
      <x:c r="Y6" s="115"/>
      <x:c r="Z6" s="115"/>
      <x:c r="AA6" s="115"/>
      <x:c r="AB6" s="115"/>
      <x:c r="AC6" s="115"/>
      <x:c r="AD6" s="115"/>
      <x:c r="AE6" s="115"/>
      <x:c r="AF6" s="115"/>
      <x:c r="AG6" s="115"/>
      <x:c r="AH6" s="115"/>
      <x:c r="AI6" s="115"/>
      <x:c r="AJ6" s="115"/>
      <x:c r="AK6" s="115"/>
      <x:c r="AL6" s="115"/>
    </x:row>
    <x:row r="7">
      <x:c r="B7" s="115" t="str">
        <x:v>Driver</x:v>
      </x:c>
      <x:c r="C7" s="115" t="str">
        <x:v>Active</x:v>
      </x:c>
      <x:c r="D7" s="115" t="str">
        <x:v>Base</x:v>
      </x:c>
      <x:c r="E7" s="115" t="str">
        <x:v>Downside</x:v>
      </x:c>
      <x:c r="F7" s="115" t="str">
        <x:v>Module upside</x:v>
      </x:c>
      <x:c r="G7" s="115"/>
      <x:c r="H7" s="115"/>
      <x:c r="I7" s="115"/>
      <x:c r="J7" s="115"/>
      <x:c r="K7" s="115"/>
      <x:c r="L7" s="115"/>
      <x:c r="M7" s="115"/>
      <x:c r="N7" s="115"/>
      <x:c r="O7" s="115"/>
      <x:c r="P7" s="115"/>
      <x:c r="Q7" s="115"/>
      <x:c r="R7" s="115"/>
      <x:c r="S7" s="115"/>
      <x:c r="T7" s="115"/>
      <x:c r="U7" s="115"/>
      <x:c r="V7" s="115"/>
      <x:c r="W7" s="115"/>
      <x:c r="X7" s="115"/>
      <x:c r="Y7" s="115"/>
      <x:c r="Z7" s="115"/>
      <x:c r="AA7" s="115"/>
      <x:c r="AB7" s="115"/>
      <x:c r="AC7" s="115"/>
      <x:c r="AD7" s="115"/>
      <x:c r="AE7" s="115"/>
      <x:c r="AF7" s="115"/>
      <x:c r="AG7" s="115"/>
      <x:c r="AH7" s="115"/>
      <x:c r="AI7" s="115"/>
      <x:c r="AJ7" s="115"/>
      <x:c r="AK7" s="115"/>
      <x:c r="AL7" s="115"/>
    </x:row>
    <x:row r="8">
      <x:c r="B8" s="115" t="str">
        <x:v>Commercial case</x:v>
      </x:c>
      <x:c r="C8" s="155" t="n">
        <x:v>1</x:v>
      </x:c>
      <x:c r="D8" s="155"/>
      <x:c r="E8" s="155"/>
      <x:c r="F8" s="155"/>
      <x:c r="G8" s="115"/>
      <x:c r="H8" s="115"/>
      <x:c r="I8" s="115"/>
      <x:c r="J8" s="115"/>
      <x:c r="K8" s="115"/>
      <x:c r="L8" s="115"/>
      <x:c r="M8" s="115"/>
      <x:c r="N8" s="115"/>
      <x:c r="O8" s="115"/>
      <x:c r="P8" s="115"/>
      <x:c r="Q8" s="115"/>
      <x:c r="R8" s="115"/>
      <x:c r="S8" s="115"/>
      <x:c r="T8" s="115"/>
      <x:c r="U8" s="115"/>
      <x:c r="V8" s="115"/>
      <x:c r="W8" s="115"/>
      <x:c r="X8" s="115"/>
      <x:c r="Y8" s="115"/>
      <x:c r="Z8" s="115"/>
      <x:c r="AA8" s="115"/>
      <x:c r="AB8" s="115"/>
      <x:c r="AC8" s="115"/>
      <x:c r="AD8" s="115"/>
      <x:c r="AE8" s="115"/>
      <x:c r="AF8" s="115"/>
      <x:c r="AG8" s="115"/>
      <x:c r="AH8" s="115"/>
      <x:c r="AI8" s="115"/>
      <x:c r="AJ8" s="115"/>
      <x:c r="AK8" s="115"/>
      <x:c r="AL8" s="115"/>
    </x:row>
    <x:row r="9">
      <x:c r="B9" s="115" t="str">
        <x:v>Revenue start delay (months)</x:v>
      </x:c>
      <x:c r="C9" s="155" t="n">
        <x:f>CHOOSE($C$8,D9,E9,F9)</x:f>
        <x:v>0</x:v>
      </x:c>
      <x:c r="D9" s="158" t="n">
        <x:v>0</x:v>
      </x:c>
      <x:c r="E9" s="158" t="n">
        <x:v>6</x:v>
      </x:c>
      <x:c r="F9" s="158" t="n">
        <x:v>0</x:v>
      </x:c>
      <x:c r="G9" s="115"/>
      <x:c r="H9" s="115"/>
      <x:c r="I9" s="115"/>
      <x:c r="J9" s="115"/>
      <x:c r="K9" s="115"/>
      <x:c r="L9" s="115"/>
      <x:c r="M9" s="115"/>
      <x:c r="N9" s="115"/>
      <x:c r="O9" s="115"/>
      <x:c r="P9" s="115"/>
      <x:c r="Q9" s="115"/>
      <x:c r="R9" s="115"/>
      <x:c r="S9" s="115"/>
      <x:c r="T9" s="115"/>
      <x:c r="U9" s="115"/>
      <x:c r="V9" s="115"/>
      <x:c r="W9" s="115"/>
      <x:c r="X9" s="115"/>
      <x:c r="Y9" s="115"/>
      <x:c r="Z9" s="115"/>
      <x:c r="AA9" s="115"/>
      <x:c r="AB9" s="115"/>
      <x:c r="AC9" s="115"/>
      <x:c r="AD9" s="115"/>
      <x:c r="AE9" s="115"/>
      <x:c r="AF9" s="115"/>
      <x:c r="AG9" s="115"/>
      <x:c r="AH9" s="115"/>
      <x:c r="AI9" s="115"/>
      <x:c r="AJ9" s="115"/>
      <x:c r="AK9" s="115"/>
      <x:c r="AL9" s="115"/>
    </x:row>
    <x:row r="10">
      <x:c r="B10" s="115" t="str">
        <x:v>Deployment cost overrun</x:v>
      </x:c>
      <x:c r="C10" s="156" t="n">
        <x:f>CHOOSE($C$8,D10,E10,F10)</x:f>
        <x:v>0</x:v>
      </x:c>
      <x:c r="D10" s="159" t="n">
        <x:v>0</x:v>
      </x:c>
      <x:c r="E10" s="159" t="n">
        <x:v>0.1</x:v>
      </x:c>
      <x:c r="F10" s="159" t="n">
        <x:v>0</x:v>
      </x:c>
      <x:c r="G10" s="115"/>
      <x:c r="H10" s="115"/>
      <x:c r="I10" s="115"/>
      <x:c r="J10" s="115"/>
      <x:c r="K10" s="115"/>
      <x:c r="L10" s="115"/>
      <x:c r="M10" s="115"/>
      <x:c r="N10" s="115"/>
      <x:c r="O10" s="115"/>
      <x:c r="P10" s="115"/>
      <x:c r="Q10" s="115"/>
      <x:c r="R10" s="115"/>
      <x:c r="S10" s="115"/>
      <x:c r="T10" s="115"/>
      <x:c r="U10" s="115"/>
      <x:c r="V10" s="115"/>
      <x:c r="W10" s="115"/>
      <x:c r="X10" s="115"/>
      <x:c r="Y10" s="115"/>
      <x:c r="Z10" s="115"/>
      <x:c r="AA10" s="115"/>
      <x:c r="AB10" s="115"/>
      <x:c r="AC10" s="115"/>
      <x:c r="AD10" s="115"/>
      <x:c r="AE10" s="115"/>
      <x:c r="AF10" s="115"/>
      <x:c r="AG10" s="115"/>
      <x:c r="AH10" s="115"/>
      <x:c r="AI10" s="115"/>
      <x:c r="AJ10" s="115"/>
      <x:c r="AK10" s="115"/>
      <x:c r="AL10" s="115"/>
    </x:row>
    <x:row r="11">
      <x:c r="B11" s="115" t="str">
        <x:v>Collection lag (months)</x:v>
      </x:c>
      <x:c r="C11" s="155" t="n">
        <x:f>CHOOSE($C$8,D11,E11,F11)</x:f>
        <x:v>1</x:v>
      </x:c>
      <x:c r="D11" s="158" t="n">
        <x:v>1</x:v>
      </x:c>
      <x:c r="E11" s="158" t="n">
        <x:v>3</x:v>
      </x:c>
      <x:c r="F11" s="158" t="n">
        <x:v>1</x:v>
      </x:c>
      <x:c r="G11" s="115"/>
      <x:c r="H11" s="115"/>
      <x:c r="I11" s="115"/>
      <x:c r="J11" s="115"/>
      <x:c r="K11" s="115"/>
      <x:c r="L11" s="115"/>
      <x:c r="M11" s="115"/>
      <x:c r="N11" s="115"/>
      <x:c r="O11" s="115"/>
      <x:c r="P11" s="115"/>
      <x:c r="Q11" s="115"/>
      <x:c r="R11" s="115"/>
      <x:c r="S11" s="115"/>
      <x:c r="T11" s="115"/>
      <x:c r="U11" s="115"/>
      <x:c r="V11" s="115"/>
      <x:c r="W11" s="115"/>
      <x:c r="X11" s="115"/>
      <x:c r="Y11" s="115"/>
      <x:c r="Z11" s="115"/>
      <x:c r="AA11" s="115"/>
      <x:c r="AB11" s="115"/>
      <x:c r="AC11" s="115"/>
      <x:c r="AD11" s="115"/>
      <x:c r="AE11" s="115"/>
      <x:c r="AF11" s="115"/>
      <x:c r="AG11" s="115"/>
      <x:c r="AH11" s="115"/>
      <x:c r="AI11" s="115"/>
      <x:c r="AJ11" s="115"/>
      <x:c r="AK11" s="115"/>
      <x:c r="AL11" s="115"/>
    </x:row>
    <x:row r="12">
      <x:c r="B12" s="115" t="str">
        <x:v>Collection loss allowance</x:v>
      </x:c>
      <x:c r="C12" s="156" t="n">
        <x:f>CHOOSE($C$8,D12,E12,F12)</x:f>
        <x:v>0</x:v>
      </x:c>
      <x:c r="D12" s="159" t="n">
        <x:v>0</x:v>
      </x:c>
      <x:c r="E12" s="159" t="n">
        <x:v>0.05</x:v>
      </x:c>
      <x:c r="F12" s="159" t="n">
        <x:v>0</x:v>
      </x:c>
      <x:c r="G12" s="115"/>
      <x:c r="H12" s="115"/>
      <x:c r="I12" s="115"/>
      <x:c r="J12" s="115"/>
      <x:c r="K12" s="115"/>
      <x:c r="L12" s="115"/>
      <x:c r="M12" s="115"/>
      <x:c r="N12" s="115"/>
      <x:c r="O12" s="115"/>
      <x:c r="P12" s="115"/>
      <x:c r="Q12" s="115"/>
      <x:c r="R12" s="115"/>
      <x:c r="S12" s="115"/>
      <x:c r="T12" s="115"/>
      <x:c r="U12" s="115"/>
      <x:c r="V12" s="115"/>
      <x:c r="W12" s="115"/>
      <x:c r="X12" s="115"/>
      <x:c r="Y12" s="115"/>
      <x:c r="Z12" s="115"/>
      <x:c r="AA12" s="115"/>
      <x:c r="AB12" s="115"/>
      <x:c r="AC12" s="115"/>
      <x:c r="AD12" s="115"/>
      <x:c r="AE12" s="115"/>
      <x:c r="AF12" s="115"/>
      <x:c r="AG12" s="115"/>
      <x:c r="AH12" s="115"/>
      <x:c r="AI12" s="115"/>
      <x:c r="AJ12" s="115"/>
      <x:c r="AK12" s="115"/>
      <x:c r="AL12" s="115"/>
    </x:row>
    <x:row r="13">
      <x:c r="B13" s="115" t="str">
        <x:v>Paid module revenue enabled</x:v>
      </x:c>
      <x:c r="C13" s="155" t="n">
        <x:f>CHOOSE($C$8,D13,E13,F13)</x:f>
        <x:v>0</x:v>
      </x:c>
      <x:c r="D13" s="158" t="n">
        <x:v>0</x:v>
      </x:c>
      <x:c r="E13" s="158" t="n">
        <x:v>0</x:v>
      </x:c>
      <x:c r="F13" s="158" t="n">
        <x:v>1</x:v>
      </x:c>
      <x:c r="G13" s="115"/>
      <x:c r="H13" s="115"/>
      <x:c r="I13" s="115"/>
      <x:c r="J13" s="115"/>
      <x:c r="K13" s="115"/>
      <x:c r="L13" s="115"/>
      <x:c r="M13" s="115"/>
      <x:c r="N13" s="115"/>
      <x:c r="O13" s="115"/>
      <x:c r="P13" s="115"/>
      <x:c r="Q13" s="115"/>
      <x:c r="R13" s="115"/>
      <x:c r="S13" s="115"/>
      <x:c r="T13" s="115"/>
      <x:c r="U13" s="115"/>
      <x:c r="V13" s="115"/>
      <x:c r="W13" s="115"/>
      <x:c r="X13" s="115"/>
      <x:c r="Y13" s="115"/>
      <x:c r="Z13" s="115"/>
      <x:c r="AA13" s="115"/>
      <x:c r="AB13" s="115"/>
      <x:c r="AC13" s="115"/>
      <x:c r="AD13" s="115"/>
      <x:c r="AE13" s="115"/>
      <x:c r="AF13" s="115"/>
      <x:c r="AG13" s="115"/>
      <x:c r="AH13" s="115"/>
      <x:c r="AI13" s="115"/>
      <x:c r="AJ13" s="115"/>
      <x:c r="AK13" s="115"/>
      <x:c r="AL13" s="115"/>
    </x:row>
    <x:row r="14">
      <x:c r="B14" s="115" t="str">
        <x:v>SaaS customer acquisition factor</x:v>
      </x:c>
      <x:c r="C14" s="155" t="n">
        <x:f>CHOOSE($C$8,D14,E14,F14)</x:f>
        <x:v>1</x:v>
      </x:c>
      <x:c r="D14" s="158" t="n">
        <x:v>1</x:v>
      </x:c>
      <x:c r="E14" s="158" t="n">
        <x:v>0.5</x:v>
      </x:c>
      <x:c r="F14" s="158" t="n">
        <x:v>1</x:v>
      </x:c>
      <x:c r="G14" s="115"/>
      <x:c r="H14" s="115"/>
      <x:c r="I14" s="115"/>
      <x:c r="J14" s="115"/>
      <x:c r="K14" s="115"/>
      <x:c r="L14" s="115"/>
      <x:c r="M14" s="115"/>
      <x:c r="N14" s="115"/>
      <x:c r="O14" s="115"/>
      <x:c r="P14" s="115"/>
      <x:c r="Q14" s="115"/>
      <x:c r="R14" s="115"/>
      <x:c r="S14" s="115"/>
      <x:c r="T14" s="115"/>
      <x:c r="U14" s="115"/>
      <x:c r="V14" s="115"/>
      <x:c r="W14" s="115"/>
      <x:c r="X14" s="115"/>
      <x:c r="Y14" s="115"/>
      <x:c r="Z14" s="115"/>
      <x:c r="AA14" s="115"/>
      <x:c r="AB14" s="115"/>
      <x:c r="AC14" s="115"/>
      <x:c r="AD14" s="115"/>
      <x:c r="AE14" s="115"/>
      <x:c r="AF14" s="115"/>
      <x:c r="AG14" s="115"/>
      <x:c r="AH14" s="115"/>
      <x:c r="AI14" s="115"/>
      <x:c r="AJ14" s="115"/>
      <x:c r="AK14" s="115"/>
      <x:c r="AL14" s="115"/>
    </x:row>
    <x:row r="15">
      <x:c r="B15" s="115" t="str">
        <x:v>Institution acquisition factor</x:v>
      </x:c>
      <x:c r="C15" s="155" t="n">
        <x:f>CHOOSE($C$8,D15,E15,F15)</x:f>
        <x:v>1</x:v>
      </x:c>
      <x:c r="D15" s="158" t="n">
        <x:v>1</x:v>
      </x:c>
      <x:c r="E15" s="158" t="n">
        <x:v>1</x:v>
      </x:c>
      <x:c r="F15" s="158" t="n">
        <x:v>1</x:v>
      </x:c>
      <x:c r="G15" s="115"/>
      <x:c r="H15" s="115"/>
      <x:c r="I15" s="115"/>
      <x:c r="J15" s="115"/>
      <x:c r="K15" s="115"/>
      <x:c r="L15" s="115"/>
      <x:c r="M15" s="115"/>
      <x:c r="N15" s="115"/>
      <x:c r="O15" s="115"/>
      <x:c r="P15" s="115"/>
      <x:c r="Q15" s="115"/>
      <x:c r="R15" s="115"/>
      <x:c r="S15" s="115"/>
      <x:c r="T15" s="115"/>
      <x:c r="U15" s="115"/>
      <x:c r="V15" s="115"/>
      <x:c r="W15" s="115"/>
      <x:c r="X15" s="115"/>
      <x:c r="Y15" s="115"/>
      <x:c r="Z15" s="115"/>
      <x:c r="AA15" s="115"/>
      <x:c r="AB15" s="115"/>
      <x:c r="AC15" s="115"/>
      <x:c r="AD15" s="115"/>
      <x:c r="AE15" s="115"/>
      <x:c r="AF15" s="115"/>
      <x:c r="AG15" s="115"/>
      <x:c r="AH15" s="115"/>
      <x:c r="AI15" s="115"/>
      <x:c r="AJ15" s="115"/>
      <x:c r="AK15" s="115"/>
      <x:c r="AL15" s="115"/>
    </x:row>
    <x:row r="16">
      <x:c r="B16" s="115" t="str">
        <x:v>Transaction fee planning enabled</x:v>
      </x:c>
      <x:c r="C16" s="155" t="n">
        <x:f>CHOOSE($C$8,D16,E16,F16)</x:f>
        <x:v>1</x:v>
      </x:c>
      <x:c r="D16" s="158" t="n">
        <x:v>1</x:v>
      </x:c>
      <x:c r="E16" s="158" t="n">
        <x:v>0</x:v>
      </x:c>
      <x:c r="F16" s="158" t="n">
        <x:v>1</x:v>
      </x:c>
      <x:c r="G16" s="115"/>
      <x:c r="H16" s="115"/>
      <x:c r="I16" s="115"/>
      <x:c r="J16" s="115"/>
      <x:c r="K16" s="115"/>
      <x:c r="L16" s="115"/>
      <x:c r="M16" s="115"/>
      <x:c r="N16" s="115"/>
      <x:c r="O16" s="115"/>
      <x:c r="P16" s="115"/>
      <x:c r="Q16" s="115"/>
      <x:c r="R16" s="115"/>
      <x:c r="S16" s="115"/>
      <x:c r="T16" s="115"/>
      <x:c r="U16" s="115"/>
      <x:c r="V16" s="115"/>
      <x:c r="W16" s="115"/>
      <x:c r="X16" s="115"/>
      <x:c r="Y16" s="115"/>
      <x:c r="Z16" s="115"/>
      <x:c r="AA16" s="115"/>
      <x:c r="AB16" s="115"/>
      <x:c r="AC16" s="115"/>
      <x:c r="AD16" s="115"/>
      <x:c r="AE16" s="115"/>
      <x:c r="AF16" s="115"/>
      <x:c r="AG16" s="115"/>
      <x:c r="AH16" s="115"/>
      <x:c r="AI16" s="115"/>
      <x:c r="AJ16" s="115"/>
      <x:c r="AK16" s="115"/>
      <x:c r="AL16" s="115"/>
    </x:row>
    <x:row r="17">
      <x:c r="B17" s="115" t="str">
        <x:v>Token deployment gate month</x:v>
      </x:c>
      <x:c r="C17" s="155" t="n">
        <x:v>0</x:v>
      </x:c>
      <x:c r="D17" s="155"/>
      <x:c r="E17" s="155"/>
      <x:c r="F17" s="155"/>
      <x:c r="G17" s="115"/>
      <x:c r="H17" s="115"/>
      <x:c r="I17" s="115"/>
      <x:c r="J17" s="115"/>
      <x:c r="K17" s="115"/>
      <x:c r="L17" s="115"/>
      <x:c r="M17" s="115"/>
      <x:c r="N17" s="115"/>
      <x:c r="O17" s="115"/>
      <x:c r="P17" s="115"/>
      <x:c r="Q17" s="115"/>
      <x:c r="R17" s="115"/>
      <x:c r="S17" s="115"/>
      <x:c r="T17" s="115"/>
      <x:c r="U17" s="115"/>
      <x:c r="V17" s="115"/>
      <x:c r="W17" s="115"/>
      <x:c r="X17" s="115"/>
      <x:c r="Y17" s="115"/>
      <x:c r="Z17" s="115"/>
      <x:c r="AA17" s="115"/>
      <x:c r="AB17" s="115"/>
      <x:c r="AC17" s="115"/>
      <x:c r="AD17" s="115"/>
      <x:c r="AE17" s="115"/>
      <x:c r="AF17" s="115"/>
      <x:c r="AG17" s="115"/>
      <x:c r="AH17" s="115"/>
      <x:c r="AI17" s="115"/>
      <x:c r="AJ17" s="115"/>
      <x:c r="AK17" s="115"/>
      <x:c r="AL17" s="115"/>
    </x:row>
    <x:row r="18">
      <x:c r="B18" s="115" t="str">
        <x:v>MM deployment gate month</x:v>
      </x:c>
      <x:c r="C18" s="155" t="n">
        <x:v>0</x:v>
      </x:c>
      <x:c r="D18" s="155"/>
      <x:c r="E18" s="155"/>
      <x:c r="F18" s="155"/>
      <x:c r="G18" s="115"/>
      <x:c r="H18" s="115"/>
      <x:c r="I18" s="115"/>
      <x:c r="J18" s="115"/>
      <x:c r="K18" s="115"/>
      <x:c r="L18" s="115"/>
      <x:c r="M18" s="115"/>
      <x:c r="N18" s="115"/>
      <x:c r="O18" s="115"/>
      <x:c r="P18" s="115"/>
      <x:c r="Q18" s="115"/>
      <x:c r="R18" s="115"/>
      <x:c r="S18" s="115"/>
      <x:c r="T18" s="115"/>
      <x:c r="U18" s="115"/>
      <x:c r="V18" s="115"/>
      <x:c r="W18" s="115"/>
      <x:c r="X18" s="115"/>
      <x:c r="Y18" s="115"/>
      <x:c r="Z18" s="115"/>
      <x:c r="AA18" s="115"/>
      <x:c r="AB18" s="115"/>
      <x:c r="AC18" s="115"/>
      <x:c r="AD18" s="115"/>
      <x:c r="AE18" s="115"/>
      <x:c r="AF18" s="115"/>
      <x:c r="AG18" s="115"/>
      <x:c r="AH18" s="115"/>
      <x:c r="AI18" s="115"/>
      <x:c r="AJ18" s="115"/>
      <x:c r="AK18" s="115"/>
      <x:c r="AL18" s="115"/>
    </x:row>
    <x:row r="19">
      <x:c r="B19" s="115" t="str">
        <x:v>Funding case (1 base / 2 full-tech)</x:v>
      </x:c>
      <x:c r="C19" s="155" t="n">
        <x:v>1</x:v>
      </x:c>
      <x:c r="D19" s="155"/>
      <x:c r="E19" s="155"/>
      <x:c r="F19" s="155"/>
      <x:c r="G19" s="115"/>
      <x:c r="H19" s="115"/>
      <x:c r="I19" s="115"/>
      <x:c r="J19" s="115"/>
      <x:c r="K19" s="115"/>
      <x:c r="L19" s="115"/>
      <x:c r="M19" s="115"/>
      <x:c r="N19" s="115"/>
      <x:c r="O19" s="115"/>
      <x:c r="P19" s="115"/>
      <x:c r="Q19" s="115"/>
      <x:c r="R19" s="115"/>
      <x:c r="S19" s="115"/>
      <x:c r="T19" s="115"/>
      <x:c r="U19" s="115"/>
      <x:c r="V19" s="115"/>
      <x:c r="W19" s="115"/>
      <x:c r="X19" s="115"/>
      <x:c r="Y19" s="115"/>
      <x:c r="Z19" s="115"/>
      <x:c r="AA19" s="115"/>
      <x:c r="AB19" s="115"/>
      <x:c r="AC19" s="115"/>
      <x:c r="AD19" s="115"/>
      <x:c r="AE19" s="115"/>
      <x:c r="AF19" s="115"/>
      <x:c r="AG19" s="115"/>
      <x:c r="AH19" s="115"/>
      <x:c r="AI19" s="115"/>
      <x:c r="AJ19" s="115"/>
      <x:c r="AK19" s="115"/>
      <x:c r="AL19" s="115"/>
    </x:row>
    <x:row r="20">
      <x:c r="B20" s="115" t="str">
        <x:v>Year 3 fixed deployment budget</x:v>
      </x:c>
      <x:c r="C20" s="155" t="n">
        <x:v>1200000</x:v>
      </x:c>
      <x:c r="D20" s="155"/>
      <x:c r="E20" s="155"/>
      <x:c r="F20" s="155"/>
      <x:c r="G20" s="115"/>
      <x:c r="H20" s="115"/>
      <x:c r="I20" s="115"/>
      <x:c r="J20" s="115"/>
      <x:c r="K20" s="115"/>
      <x:c r="L20" s="115"/>
      <x:c r="M20" s="115"/>
      <x:c r="N20" s="115"/>
      <x:c r="O20" s="115"/>
      <x:c r="P20" s="115"/>
      <x:c r="Q20" s="115"/>
      <x:c r="R20" s="115"/>
      <x:c r="S20" s="115"/>
      <x:c r="T20" s="115"/>
      <x:c r="U20" s="115"/>
      <x:c r="V20" s="115"/>
      <x:c r="W20" s="115"/>
      <x:c r="X20" s="115"/>
      <x:c r="Y20" s="115"/>
      <x:c r="Z20" s="115"/>
      <x:c r="AA20" s="115"/>
      <x:c r="AB20" s="115"/>
      <x:c r="AC20" s="115"/>
      <x:c r="AD20" s="115"/>
      <x:c r="AE20" s="115"/>
      <x:c r="AF20" s="115"/>
      <x:c r="AG20" s="115"/>
      <x:c r="AH20" s="115"/>
      <x:c r="AI20" s="115"/>
      <x:c r="AJ20" s="115"/>
      <x:c r="AK20" s="115"/>
      <x:c r="AL20" s="115"/>
    </x:row>
    <x:row r="21">
      <x:c r="B21" s="115" t="str">
        <x:v>Additional cash cost / month</x:v>
      </x:c>
      <x:c r="C21" s="155" t="n">
        <x:v>0</x:v>
      </x:c>
      <x:c r="D21" s="155"/>
      <x:c r="E21" s="155"/>
      <x:c r="F21" s="155"/>
      <x:c r="G21" s="115"/>
      <x:c r="H21" s="115"/>
      <x:c r="I21" s="115"/>
      <x:c r="J21" s="115"/>
      <x:c r="K21" s="115"/>
      <x:c r="L21" s="115"/>
      <x:c r="M21" s="115"/>
      <x:c r="N21" s="115"/>
      <x:c r="O21" s="115"/>
      <x:c r="P21" s="115"/>
      <x:c r="Q21" s="115"/>
      <x:c r="R21" s="115"/>
      <x:c r="S21" s="115"/>
      <x:c r="T21" s="115"/>
      <x:c r="U21" s="115"/>
      <x:c r="V21" s="115"/>
      <x:c r="W21" s="115"/>
      <x:c r="X21" s="115"/>
      <x:c r="Y21" s="115"/>
      <x:c r="Z21" s="115"/>
      <x:c r="AA21" s="115"/>
      <x:c r="AB21" s="115"/>
      <x:c r="AC21" s="115"/>
      <x:c r="AD21" s="115"/>
      <x:c r="AE21" s="115"/>
      <x:c r="AF21" s="115"/>
      <x:c r="AG21" s="115"/>
      <x:c r="AH21" s="115"/>
      <x:c r="AI21" s="115"/>
      <x:c r="AJ21" s="115"/>
      <x:c r="AK21" s="115"/>
      <x:c r="AL21" s="115"/>
    </x:row>
    <x:row r="22">
      <x:c r="B22" s="115" t="str">
        <x:v>Institutional onboarding fee</x:v>
      </x:c>
      <x:c r="C22" s="155" t="n">
        <x:v>15000</x:v>
      </x:c>
      <x:c r="D22" s="155"/>
      <x:c r="E22" s="155"/>
      <x:c r="F22" s="155"/>
      <x:c r="G22" s="115"/>
      <x:c r="H22" s="115"/>
      <x:c r="I22" s="115"/>
      <x:c r="J22" s="115"/>
      <x:c r="K22" s="115"/>
      <x:c r="L22" s="115"/>
      <x:c r="M22" s="115"/>
      <x:c r="N22" s="115"/>
      <x:c r="O22" s="115"/>
      <x:c r="P22" s="115"/>
      <x:c r="Q22" s="115"/>
      <x:c r="R22" s="115"/>
      <x:c r="S22" s="115"/>
      <x:c r="T22" s="115"/>
      <x:c r="U22" s="115"/>
      <x:c r="V22" s="115"/>
      <x:c r="W22" s="115"/>
      <x:c r="X22" s="115"/>
      <x:c r="Y22" s="115"/>
      <x:c r="Z22" s="115"/>
      <x:c r="AA22" s="115"/>
      <x:c r="AB22" s="115"/>
      <x:c r="AC22" s="115"/>
      <x:c r="AD22" s="115"/>
      <x:c r="AE22" s="115"/>
      <x:c r="AF22" s="115"/>
      <x:c r="AG22" s="115"/>
      <x:c r="AH22" s="115"/>
      <x:c r="AI22" s="115"/>
      <x:c r="AJ22" s="115"/>
      <x:c r="AK22" s="115"/>
      <x:c r="AL22" s="115"/>
    </x:row>
    <x:row r="23">
      <x:c r="B23" s="115" t="str">
        <x:v>Incremental cost provision Y1</x:v>
      </x:c>
      <x:c r="C23" s="156" t="n">
        <x:v>0.45</x:v>
      </x:c>
      <x:c r="D23" s="156"/>
      <x:c r="E23" s="156"/>
      <x:c r="F23" s="156"/>
      <x:c r="G23" s="115"/>
      <x:c r="H23" s="115"/>
      <x:c r="I23" s="115"/>
      <x:c r="J23" s="115"/>
      <x:c r="K23" s="115"/>
      <x:c r="L23" s="115"/>
      <x:c r="M23" s="115"/>
      <x:c r="N23" s="115"/>
      <x:c r="O23" s="115"/>
      <x:c r="P23" s="115"/>
      <x:c r="Q23" s="115"/>
      <x:c r="R23" s="115"/>
      <x:c r="S23" s="115"/>
      <x:c r="T23" s="115"/>
      <x:c r="U23" s="115"/>
      <x:c r="V23" s="115"/>
      <x:c r="W23" s="115"/>
      <x:c r="X23" s="115"/>
      <x:c r="Y23" s="115"/>
      <x:c r="Z23" s="115"/>
      <x:c r="AA23" s="115"/>
      <x:c r="AB23" s="115"/>
      <x:c r="AC23" s="115"/>
      <x:c r="AD23" s="115"/>
      <x:c r="AE23" s="115"/>
      <x:c r="AF23" s="115"/>
      <x:c r="AG23" s="115"/>
      <x:c r="AH23" s="115"/>
      <x:c r="AI23" s="115"/>
      <x:c r="AJ23" s="115"/>
      <x:c r="AK23" s="115"/>
      <x:c r="AL23" s="115"/>
    </x:row>
    <x:row r="24">
      <x:c r="B24" s="115" t="str">
        <x:v>Incremental cost provision Y2</x:v>
      </x:c>
      <x:c r="C24" s="156" t="n">
        <x:v>0.4</x:v>
      </x:c>
      <x:c r="D24" s="156"/>
      <x:c r="E24" s="156"/>
      <x:c r="F24" s="156"/>
      <x:c r="G24" s="115"/>
      <x:c r="H24" s="115"/>
      <x:c r="I24" s="115"/>
      <x:c r="J24" s="115"/>
      <x:c r="K24" s="115"/>
      <x:c r="L24" s="115"/>
      <x:c r="M24" s="115"/>
      <x:c r="N24" s="115"/>
      <x:c r="O24" s="115"/>
      <x:c r="P24" s="115"/>
      <x:c r="Q24" s="115"/>
      <x:c r="R24" s="115"/>
      <x:c r="S24" s="115"/>
      <x:c r="T24" s="115"/>
      <x:c r="U24" s="115"/>
      <x:c r="V24" s="115"/>
      <x:c r="W24" s="115"/>
      <x:c r="X24" s="115"/>
      <x:c r="Y24" s="115"/>
      <x:c r="Z24" s="115"/>
      <x:c r="AA24" s="115"/>
      <x:c r="AB24" s="115"/>
      <x:c r="AC24" s="115"/>
      <x:c r="AD24" s="115"/>
      <x:c r="AE24" s="115"/>
      <x:c r="AF24" s="115"/>
      <x:c r="AG24" s="115"/>
      <x:c r="AH24" s="115"/>
      <x:c r="AI24" s="115"/>
      <x:c r="AJ24" s="115"/>
      <x:c r="AK24" s="115"/>
      <x:c r="AL24" s="115"/>
    </x:row>
    <x:row r="25">
      <x:c r="B25" s="115" t="str">
        <x:v>Incremental cost provision Y3</x:v>
      </x:c>
      <x:c r="C25" s="156" t="n">
        <x:v>0.35</x:v>
      </x:c>
      <x:c r="D25" s="156"/>
      <x:c r="E25" s="156"/>
      <x:c r="F25" s="156"/>
      <x:c r="G25" s="115"/>
      <x:c r="H25" s="115"/>
      <x:c r="I25" s="115"/>
      <x:c r="J25" s="115"/>
      <x:c r="K25" s="115"/>
      <x:c r="L25" s="115"/>
      <x:c r="M25" s="115"/>
      <x:c r="N25" s="115"/>
      <x:c r="O25" s="115"/>
      <x:c r="P25" s="115"/>
      <x:c r="Q25" s="115"/>
      <x:c r="R25" s="115"/>
      <x:c r="S25" s="115"/>
      <x:c r="T25" s="115"/>
      <x:c r="U25" s="115"/>
      <x:c r="V25" s="115"/>
      <x:c r="W25" s="115"/>
      <x:c r="X25" s="115"/>
      <x:c r="Y25" s="115"/>
      <x:c r="Z25" s="115"/>
      <x:c r="AA25" s="115"/>
      <x:c r="AB25" s="115"/>
      <x:c r="AC25" s="115"/>
      <x:c r="AD25" s="115"/>
      <x:c r="AE25" s="115"/>
      <x:c r="AF25" s="115"/>
      <x:c r="AG25" s="115"/>
      <x:c r="AH25" s="115"/>
      <x:c r="AI25" s="115"/>
      <x:c r="AJ25" s="115"/>
      <x:c r="AK25" s="115"/>
      <x:c r="AL25" s="115"/>
    </x:row>
    <x:row r="26">
      <x:c r="B26" s="115" t="str">
        <x:v>Tax / other cash allowance month</x:v>
      </x:c>
      <x:c r="C26" s="155" t="n">
        <x:v>0</x:v>
      </x:c>
      <x:c r="D26" s="155"/>
      <x:c r="E26" s="155"/>
      <x:c r="F26" s="155"/>
      <x:c r="G26" s="115"/>
      <x:c r="H26" s="115"/>
      <x:c r="I26" s="115"/>
      <x:c r="J26" s="115"/>
      <x:c r="K26" s="115"/>
      <x:c r="L26" s="115"/>
      <x:c r="M26" s="115"/>
      <x:c r="N26" s="115"/>
      <x:c r="O26" s="115"/>
      <x:c r="P26" s="115"/>
      <x:c r="Q26" s="115"/>
      <x:c r="R26" s="115"/>
      <x:c r="S26" s="115"/>
      <x:c r="T26" s="115"/>
      <x:c r="U26" s="115"/>
      <x:c r="V26" s="115"/>
      <x:c r="W26" s="115"/>
      <x:c r="X26" s="115"/>
      <x:c r="Y26" s="115"/>
      <x:c r="Z26" s="115"/>
      <x:c r="AA26" s="115"/>
      <x:c r="AB26" s="115"/>
      <x:c r="AC26" s="115"/>
      <x:c r="AD26" s="115"/>
      <x:c r="AE26" s="115"/>
      <x:c r="AF26" s="115"/>
      <x:c r="AG26" s="115"/>
      <x:c r="AH26" s="115"/>
      <x:c r="AI26" s="115"/>
      <x:c r="AJ26" s="115"/>
      <x:c r="AK26" s="115"/>
      <x:c r="AL26" s="115"/>
    </x:row>
    <x:row r="27">
      <x:c r="B27" s="115" t="str">
        <x:v>Cash allowance confirmed (0 / 1)</x:v>
      </x:c>
      <x:c r="C27" s="155" t="n">
        <x:v>0</x:v>
      </x:c>
      <x:c r="D27" s="155"/>
      <x:c r="E27" s="155"/>
      <x:c r="F27" s="155"/>
      <x:c r="G27" s="115"/>
      <x:c r="H27" s="115"/>
      <x:c r="I27" s="115"/>
      <x:c r="J27" s="115"/>
      <x:c r="K27" s="115"/>
      <x:c r="L27" s="115"/>
      <x:c r="M27" s="115"/>
      <x:c r="N27" s="115"/>
      <x:c r="O27" s="115"/>
      <x:c r="P27" s="115"/>
      <x:c r="Q27" s="115"/>
      <x:c r="R27" s="115"/>
      <x:c r="S27" s="115"/>
      <x:c r="T27" s="115"/>
      <x:c r="U27" s="115"/>
      <x:c r="V27" s="115"/>
      <x:c r="W27" s="115"/>
      <x:c r="X27" s="115"/>
      <x:c r="Y27" s="115"/>
      <x:c r="Z27" s="115"/>
      <x:c r="AA27" s="115"/>
      <x:c r="AB27" s="115"/>
      <x:c r="AC27" s="115"/>
      <x:c r="AD27" s="115"/>
      <x:c r="AE27" s="115"/>
      <x:c r="AF27" s="115"/>
      <x:c r="AG27" s="115"/>
      <x:c r="AH27" s="115"/>
      <x:c r="AI27" s="115"/>
      <x:c r="AJ27" s="115"/>
      <x:c r="AK27" s="115"/>
      <x:c r="AL27" s="115"/>
    </x:row>
    <x:row r="28">
      <x:c r="B28" s="115" t="str">
        <x:v>Forecast starts at funding close</x:v>
      </x:c>
      <x:c r="C28" s="157" t="n">
        <x:v>46266.5</x:v>
      </x:c>
      <x:c r="D28" s="155"/>
      <x:c r="E28" s="155"/>
      <x:c r="F28" s="155"/>
      <x:c r="G28" s="115"/>
      <x:c r="H28" s="115"/>
      <x:c r="I28" s="115"/>
      <x:c r="J28" s="115"/>
      <x:c r="K28" s="115"/>
      <x:c r="L28" s="115"/>
      <x:c r="M28" s="115"/>
      <x:c r="N28" s="115"/>
      <x:c r="O28" s="115"/>
      <x:c r="P28" s="115"/>
      <x:c r="Q28" s="115"/>
      <x:c r="R28" s="115"/>
      <x:c r="S28" s="115"/>
      <x:c r="T28" s="115"/>
      <x:c r="U28" s="115"/>
      <x:c r="V28" s="115"/>
      <x:c r="W28" s="115"/>
      <x:c r="X28" s="115"/>
      <x:c r="Y28" s="115"/>
      <x:c r="Z28" s="115"/>
      <x:c r="AA28" s="115"/>
      <x:c r="AB28" s="115"/>
      <x:c r="AC28" s="115"/>
      <x:c r="AD28" s="115"/>
      <x:c r="AE28" s="115"/>
      <x:c r="AF28" s="115"/>
      <x:c r="AG28" s="115"/>
      <x:c r="AH28" s="115"/>
      <x:c r="AI28" s="115"/>
      <x:c r="AJ28" s="115"/>
      <x:c r="AK28" s="115"/>
      <x:c r="AL28" s="115"/>
    </x:row>
    <x:row r="29">
      <x:c r="B29" s="115"/>
      <x:c r="C29" s="115"/>
      <x:c r="D29" s="115"/>
      <x:c r="E29" s="115"/>
      <x:c r="F29" s="115"/>
      <x:c r="G29" s="115"/>
      <x:c r="H29" s="115"/>
      <x:c r="I29" s="115"/>
      <x:c r="J29" s="115"/>
      <x:c r="K29" s="115"/>
      <x:c r="L29" s="115"/>
      <x:c r="M29" s="115"/>
      <x:c r="N29" s="115"/>
      <x:c r="O29" s="115"/>
      <x:c r="P29" s="115"/>
      <x:c r="Q29" s="115"/>
      <x:c r="R29" s="115"/>
      <x:c r="S29" s="115"/>
      <x:c r="T29" s="115"/>
      <x:c r="U29" s="115"/>
      <x:c r="V29" s="115"/>
      <x:c r="W29" s="115"/>
      <x:c r="X29" s="115"/>
      <x:c r="Y29" s="115"/>
      <x:c r="Z29" s="115"/>
      <x:c r="AA29" s="115"/>
      <x:c r="AB29" s="115"/>
      <x:c r="AC29" s="115"/>
      <x:c r="AD29" s="115"/>
      <x:c r="AE29" s="115"/>
      <x:c r="AF29" s="115"/>
      <x:c r="AG29" s="115"/>
      <x:c r="AH29" s="115"/>
      <x:c r="AI29" s="115"/>
      <x:c r="AJ29" s="115"/>
      <x:c r="AK29" s="115"/>
      <x:c r="AL29" s="115"/>
    </x:row>
    <x:row r="30" ht="22" customHeight="1">
      <x:c r="B30" s="116" t="str">
        <x:v>C26 is an editable cash allowance, not a tax-rate conclusion. Default zero is unconfirmed (C27=0): cash is explicitly pre-tax and excludes unquantified obligations. Fixed cloud/data/KYC minimums sit in deployment; cost provision covers incremental delivery only. Do not add the same cost twice.</x:v>
      </x:c>
      <x:c r="C30" s="116"/>
      <x:c r="D30" s="116"/>
      <x:c r="E30" s="116"/>
      <x:c r="F30" s="116"/>
      <x:c r="G30" s="116"/>
      <x:c r="H30" s="116"/>
      <x:c r="I30" s="115"/>
      <x:c r="J30" s="115"/>
      <x:c r="K30" s="115"/>
      <x:c r="L30" s="115"/>
      <x:c r="M30" s="115"/>
      <x:c r="N30" s="115"/>
      <x:c r="O30" s="115"/>
      <x:c r="P30" s="115"/>
      <x:c r="Q30" s="115"/>
      <x:c r="R30" s="115"/>
      <x:c r="S30" s="115"/>
      <x:c r="T30" s="115"/>
      <x:c r="U30" s="115"/>
      <x:c r="V30" s="115"/>
      <x:c r="W30" s="115"/>
      <x:c r="X30" s="115"/>
      <x:c r="Y30" s="115"/>
      <x:c r="Z30" s="115"/>
      <x:c r="AA30" s="115"/>
      <x:c r="AB30" s="115"/>
      <x:c r="AC30" s="115"/>
      <x:c r="AD30" s="115"/>
      <x:c r="AE30" s="115"/>
      <x:c r="AF30" s="115"/>
      <x:c r="AG30" s="115"/>
      <x:c r="AH30" s="115"/>
      <x:c r="AI30" s="115"/>
      <x:c r="AJ30" s="115"/>
      <x:c r="AK30" s="115"/>
      <x:c r="AL30" s="115"/>
    </x:row>
    <x:row r="31" ht="22" customHeight="1">
      <x:c r="B31" s="116"/>
      <x:c r="C31" s="116"/>
      <x:c r="D31" s="116"/>
      <x:c r="E31" s="116"/>
      <x:c r="F31" s="116"/>
      <x:c r="G31" s="116"/>
      <x:c r="H31" s="116"/>
      <x:c r="I31" s="115"/>
      <x:c r="J31" s="115"/>
      <x:c r="K31" s="115"/>
      <x:c r="L31" s="115"/>
      <x:c r="M31" s="115"/>
      <x:c r="N31" s="115"/>
      <x:c r="O31" s="115"/>
      <x:c r="P31" s="115"/>
      <x:c r="Q31" s="115"/>
      <x:c r="R31" s="115"/>
      <x:c r="S31" s="115"/>
      <x:c r="T31" s="115"/>
      <x:c r="U31" s="115"/>
      <x:c r="V31" s="115"/>
      <x:c r="W31" s="115"/>
      <x:c r="X31" s="115"/>
      <x:c r="Y31" s="115"/>
      <x:c r="Z31" s="115"/>
      <x:c r="AA31" s="115"/>
      <x:c r="AB31" s="115"/>
      <x:c r="AC31" s="115"/>
      <x:c r="AD31" s="115"/>
      <x:c r="AE31" s="115"/>
      <x:c r="AF31" s="115"/>
      <x:c r="AG31" s="115"/>
      <x:c r="AH31" s="115"/>
      <x:c r="AI31" s="115"/>
      <x:c r="AJ31" s="115"/>
      <x:c r="AK31" s="115"/>
      <x:c r="AL31" s="115"/>
    </x:row>
    <x:row r="32" ht="22" customHeight="1">
      <x:c r="B32" s="116"/>
      <x:c r="C32" s="116"/>
      <x:c r="D32" s="116"/>
      <x:c r="E32" s="116"/>
      <x:c r="F32" s="116"/>
      <x:c r="G32" s="116"/>
      <x:c r="H32" s="116"/>
      <x:c r="I32" s="115"/>
      <x:c r="J32" s="115"/>
      <x:c r="K32" s="115"/>
      <x:c r="L32" s="115"/>
      <x:c r="M32" s="115"/>
      <x:c r="N32" s="115"/>
      <x:c r="O32" s="115"/>
      <x:c r="P32" s="115"/>
      <x:c r="Q32" s="115"/>
      <x:c r="R32" s="115"/>
      <x:c r="S32" s="115"/>
      <x:c r="T32" s="115"/>
      <x:c r="U32" s="115"/>
      <x:c r="V32" s="115"/>
      <x:c r="W32" s="115"/>
      <x:c r="X32" s="115"/>
      <x:c r="Y32" s="115"/>
      <x:c r="Z32" s="115"/>
      <x:c r="AA32" s="115"/>
      <x:c r="AB32" s="115"/>
      <x:c r="AC32" s="115"/>
      <x:c r="AD32" s="115"/>
      <x:c r="AE32" s="115"/>
      <x:c r="AF32" s="115"/>
      <x:c r="AG32" s="115"/>
      <x:c r="AH32" s="115"/>
      <x:c r="AI32" s="115"/>
      <x:c r="AJ32" s="115"/>
      <x:c r="AK32" s="115"/>
      <x:c r="AL32" s="115"/>
    </x:row>
    <x:row r="33" ht="22" customHeight="1">
      <x:c r="B33" s="116"/>
      <x:c r="C33" s="116"/>
      <x:c r="D33" s="116"/>
      <x:c r="E33" s="116"/>
      <x:c r="F33" s="116"/>
      <x:c r="G33" s="116"/>
      <x:c r="H33" s="116"/>
      <x:c r="I33" s="115"/>
      <x:c r="J33" s="115"/>
      <x:c r="K33" s="115"/>
      <x:c r="L33" s="115"/>
      <x:c r="M33" s="115"/>
      <x:c r="N33" s="115"/>
      <x:c r="O33" s="115"/>
      <x:c r="P33" s="115"/>
      <x:c r="Q33" s="115"/>
      <x:c r="R33" s="115"/>
      <x:c r="S33" s="115"/>
      <x:c r="T33" s="115"/>
      <x:c r="U33" s="115"/>
      <x:c r="V33" s="115"/>
      <x:c r="W33" s="115"/>
      <x:c r="X33" s="115"/>
      <x:c r="Y33" s="115"/>
      <x:c r="Z33" s="115"/>
      <x:c r="AA33" s="115"/>
      <x:c r="AB33" s="115"/>
      <x:c r="AC33" s="115"/>
      <x:c r="AD33" s="115"/>
      <x:c r="AE33" s="115"/>
      <x:c r="AF33" s="115"/>
      <x:c r="AG33" s="115"/>
      <x:c r="AH33" s="115"/>
      <x:c r="AI33" s="115"/>
      <x:c r="AJ33" s="115"/>
      <x:c r="AK33" s="115"/>
      <x:c r="AL33" s="115"/>
    </x:row>
    <x:row r="34">
      <x:c r="B34" s="115"/>
      <x:c r="C34" s="115"/>
      <x:c r="D34" s="115"/>
      <x:c r="E34" s="115"/>
      <x:c r="F34" s="115"/>
      <x:c r="G34" s="115"/>
      <x:c r="H34" s="115"/>
      <x:c r="I34" s="115"/>
      <x:c r="J34" s="115"/>
      <x:c r="K34" s="115"/>
      <x:c r="L34" s="115"/>
      <x:c r="M34" s="115"/>
      <x:c r="N34" s="115"/>
      <x:c r="O34" s="115"/>
      <x:c r="P34" s="115"/>
      <x:c r="Q34" s="115"/>
      <x:c r="R34" s="115"/>
      <x:c r="S34" s="115"/>
      <x:c r="T34" s="115"/>
      <x:c r="U34" s="115"/>
      <x:c r="V34" s="115"/>
      <x:c r="W34" s="115"/>
      <x:c r="X34" s="115"/>
      <x:c r="Y34" s="115"/>
      <x:c r="Z34" s="115"/>
      <x:c r="AA34" s="115"/>
      <x:c r="AB34" s="115"/>
      <x:c r="AC34" s="115"/>
      <x:c r="AD34" s="115"/>
      <x:c r="AE34" s="115"/>
      <x:c r="AF34" s="115"/>
      <x:c r="AG34" s="115"/>
      <x:c r="AH34" s="115"/>
      <x:c r="AI34" s="115"/>
      <x:c r="AJ34" s="115"/>
      <x:c r="AK34" s="115"/>
      <x:c r="AL34" s="115"/>
    </x:row>
    <x:row r="35" ht="22" customHeight="1">
      <x:c r="B35" s="116" t="str">
        <x:v>Base commercial assumptions require founder validation. Institutional accounts and standalone SaaS accounts are separate cohorts; the same account is not billed both subscriptions in the model. A transaction fee requires a fee-eligible settled event. Gate dates are planning approvals, not legal authorization.</x:v>
      </x:c>
      <x:c r="C35" s="116"/>
      <x:c r="D35" s="116"/>
      <x:c r="E35" s="116"/>
      <x:c r="F35" s="116"/>
      <x:c r="G35" s="116"/>
      <x:c r="H35" s="116"/>
      <x:c r="I35" s="115"/>
      <x:c r="J35" s="115"/>
      <x:c r="K35" s="115"/>
      <x:c r="L35" s="115"/>
      <x:c r="M35" s="115"/>
      <x:c r="N35" s="115"/>
      <x:c r="O35" s="115"/>
      <x:c r="P35" s="115"/>
      <x:c r="Q35" s="115"/>
      <x:c r="R35" s="115"/>
      <x:c r="S35" s="115"/>
      <x:c r="T35" s="115"/>
      <x:c r="U35" s="115"/>
      <x:c r="V35" s="115"/>
      <x:c r="W35" s="115"/>
      <x:c r="X35" s="115"/>
      <x:c r="Y35" s="115"/>
      <x:c r="Z35" s="115"/>
      <x:c r="AA35" s="115"/>
      <x:c r="AB35" s="115"/>
      <x:c r="AC35" s="115"/>
      <x:c r="AD35" s="115"/>
      <x:c r="AE35" s="115"/>
      <x:c r="AF35" s="115"/>
      <x:c r="AG35" s="115"/>
      <x:c r="AH35" s="115"/>
      <x:c r="AI35" s="115"/>
      <x:c r="AJ35" s="115"/>
      <x:c r="AK35" s="115"/>
      <x:c r="AL35" s="115"/>
    </x:row>
    <x:row r="36" ht="22" customHeight="1">
      <x:c r="B36" s="116"/>
      <x:c r="C36" s="116"/>
      <x:c r="D36" s="116"/>
      <x:c r="E36" s="116"/>
      <x:c r="F36" s="116"/>
      <x:c r="G36" s="116"/>
      <x:c r="H36" s="116"/>
      <x:c r="I36" s="115"/>
      <x:c r="J36" s="115"/>
      <x:c r="K36" s="115"/>
      <x:c r="L36" s="115"/>
      <x:c r="M36" s="115"/>
      <x:c r="N36" s="115"/>
      <x:c r="O36" s="115"/>
      <x:c r="P36" s="115"/>
      <x:c r="Q36" s="115"/>
      <x:c r="R36" s="115"/>
      <x:c r="S36" s="115"/>
      <x:c r="T36" s="115"/>
      <x:c r="U36" s="115"/>
      <x:c r="V36" s="115"/>
      <x:c r="W36" s="115"/>
      <x:c r="X36" s="115"/>
      <x:c r="Y36" s="115"/>
      <x:c r="Z36" s="115"/>
      <x:c r="AA36" s="115"/>
      <x:c r="AB36" s="115"/>
      <x:c r="AC36" s="115"/>
      <x:c r="AD36" s="115"/>
      <x:c r="AE36" s="115"/>
      <x:c r="AF36" s="115"/>
      <x:c r="AG36" s="115"/>
      <x:c r="AH36" s="115"/>
      <x:c r="AI36" s="115"/>
      <x:c r="AJ36" s="115"/>
      <x:c r="AK36" s="115"/>
      <x:c r="AL36" s="115"/>
    </x:row>
    <x:row r="37" ht="22" customHeight="1">
      <x:c r="B37" s="116"/>
      <x:c r="C37" s="116"/>
      <x:c r="D37" s="116"/>
      <x:c r="E37" s="116"/>
      <x:c r="F37" s="116"/>
      <x:c r="G37" s="116"/>
      <x:c r="H37" s="116"/>
      <x:c r="I37" s="115"/>
      <x:c r="J37" s="115"/>
      <x:c r="K37" s="115"/>
      <x:c r="L37" s="115"/>
      <x:c r="M37" s="115"/>
      <x:c r="N37" s="115"/>
      <x:c r="O37" s="115"/>
      <x:c r="P37" s="115"/>
      <x:c r="Q37" s="115"/>
      <x:c r="R37" s="115"/>
      <x:c r="S37" s="115"/>
      <x:c r="T37" s="115"/>
      <x:c r="U37" s="115"/>
      <x:c r="V37" s="115"/>
      <x:c r="W37" s="115"/>
      <x:c r="X37" s="115"/>
      <x:c r="Y37" s="115"/>
      <x:c r="Z37" s="115"/>
      <x:c r="AA37" s="115"/>
      <x:c r="AB37" s="115"/>
      <x:c r="AC37" s="115"/>
      <x:c r="AD37" s="115"/>
      <x:c r="AE37" s="115"/>
      <x:c r="AF37" s="115"/>
      <x:c r="AG37" s="115"/>
      <x:c r="AH37" s="115"/>
      <x:c r="AI37" s="115"/>
      <x:c r="AJ37" s="115"/>
      <x:c r="AK37" s="115"/>
      <x:c r="AL37" s="115"/>
    </x:row>
    <x:row r="38" ht="22" customHeight="1">
      <x:c r="B38" s="116"/>
      <x:c r="C38" s="116"/>
      <x:c r="D38" s="116"/>
      <x:c r="E38" s="116"/>
      <x:c r="F38" s="116"/>
      <x:c r="G38" s="116"/>
      <x:c r="H38" s="116"/>
      <x:c r="I38" s="115"/>
      <x:c r="J38" s="115"/>
      <x:c r="K38" s="115"/>
      <x:c r="L38" s="115"/>
      <x:c r="M38" s="115"/>
      <x:c r="N38" s="115"/>
      <x:c r="O38" s="115"/>
      <x:c r="P38" s="115"/>
      <x:c r="Q38" s="115"/>
      <x:c r="R38" s="115"/>
      <x:c r="S38" s="115"/>
      <x:c r="T38" s="115"/>
      <x:c r="U38" s="115"/>
      <x:c r="V38" s="115"/>
      <x:c r="W38" s="115"/>
      <x:c r="X38" s="115"/>
      <x:c r="Y38" s="115"/>
      <x:c r="Z38" s="115"/>
      <x:c r="AA38" s="115"/>
      <x:c r="AB38" s="115"/>
      <x:c r="AC38" s="115"/>
      <x:c r="AD38" s="115"/>
      <x:c r="AE38" s="115"/>
      <x:c r="AF38" s="115"/>
      <x:c r="AG38" s="115"/>
      <x:c r="AH38" s="115"/>
      <x:c r="AI38" s="115"/>
      <x:c r="AJ38" s="115"/>
      <x:c r="AK38" s="115"/>
      <x:c r="AL38" s="115"/>
    </x:row>
    <x:row r="39">
      <x:c r="B39" s="115"/>
      <x:c r="C39" s="115"/>
      <x:c r="D39" s="115"/>
      <x:c r="E39" s="115"/>
      <x:c r="F39" s="115"/>
      <x:c r="G39" s="115"/>
      <x:c r="H39" s="115"/>
      <x:c r="I39" s="115"/>
      <x:c r="J39" s="115"/>
      <x:c r="K39" s="115"/>
      <x:c r="L39" s="115"/>
      <x:c r="M39" s="115"/>
      <x:c r="N39" s="115"/>
      <x:c r="O39" s="115"/>
      <x:c r="P39" s="115"/>
      <x:c r="Q39" s="115"/>
      <x:c r="R39" s="115"/>
      <x:c r="S39" s="115"/>
      <x:c r="T39" s="115"/>
      <x:c r="U39" s="115"/>
      <x:c r="V39" s="115"/>
      <x:c r="W39" s="115"/>
      <x:c r="X39" s="115"/>
      <x:c r="Y39" s="115"/>
      <x:c r="Z39" s="115"/>
      <x:c r="AA39" s="115"/>
      <x:c r="AB39" s="115"/>
      <x:c r="AC39" s="115"/>
      <x:c r="AD39" s="115"/>
      <x:c r="AE39" s="115"/>
      <x:c r="AF39" s="115"/>
      <x:c r="AG39" s="115"/>
      <x:c r="AH39" s="115"/>
      <x:c r="AI39" s="115"/>
      <x:c r="AJ39" s="115"/>
      <x:c r="AK39" s="115"/>
      <x:c r="AL39" s="115"/>
    </x:row>
    <x:row r="40">
      <x:c r="B40" s="115"/>
      <x:c r="C40" s="115" t="n">
        <x:v>1</x:v>
      </x:c>
      <x:c r="D40" s="115" t="n">
        <x:v>2</x:v>
      </x:c>
      <x:c r="E40" s="115" t="n">
        <x:v>3</x:v>
      </x:c>
      <x:c r="F40" s="115" t="n">
        <x:v>4</x:v>
      </x:c>
      <x:c r="G40" s="115" t="n">
        <x:v>5</x:v>
      </x:c>
      <x:c r="H40" s="115" t="n">
        <x:v>6</x:v>
      </x:c>
      <x:c r="I40" s="115" t="n">
        <x:v>7</x:v>
      </x:c>
      <x:c r="J40" s="115" t="n">
        <x:v>8</x:v>
      </x:c>
      <x:c r="K40" s="115" t="n">
        <x:v>9</x:v>
      </x:c>
      <x:c r="L40" s="115" t="n">
        <x:v>10</x:v>
      </x:c>
      <x:c r="M40" s="115" t="n">
        <x:v>11</x:v>
      </x:c>
      <x:c r="N40" s="115" t="n">
        <x:v>12</x:v>
      </x:c>
      <x:c r="O40" s="115" t="n">
        <x:v>13</x:v>
      </x:c>
      <x:c r="P40" s="115" t="n">
        <x:v>14</x:v>
      </x:c>
      <x:c r="Q40" s="115" t="n">
        <x:v>15</x:v>
      </x:c>
      <x:c r="R40" s="115" t="n">
        <x:v>16</x:v>
      </x:c>
      <x:c r="S40" s="115" t="n">
        <x:v>17</x:v>
      </x:c>
      <x:c r="T40" s="115" t="n">
        <x:v>18</x:v>
      </x:c>
      <x:c r="U40" s="115" t="n">
        <x:v>19</x:v>
      </x:c>
      <x:c r="V40" s="115" t="n">
        <x:v>20</x:v>
      </x:c>
      <x:c r="W40" s="115" t="n">
        <x:v>21</x:v>
      </x:c>
      <x:c r="X40" s="115" t="n">
        <x:v>22</x:v>
      </x:c>
      <x:c r="Y40" s="115" t="n">
        <x:v>23</x:v>
      </x:c>
      <x:c r="Z40" s="115" t="n">
        <x:v>24</x:v>
      </x:c>
      <x:c r="AA40" s="115" t="n">
        <x:v>25</x:v>
      </x:c>
      <x:c r="AB40" s="115" t="n">
        <x:v>26</x:v>
      </x:c>
      <x:c r="AC40" s="115" t="n">
        <x:v>27</x:v>
      </x:c>
      <x:c r="AD40" s="115" t="n">
        <x:v>28</x:v>
      </x:c>
      <x:c r="AE40" s="115" t="n">
        <x:v>29</x:v>
      </x:c>
      <x:c r="AF40" s="115" t="n">
        <x:v>30</x:v>
      </x:c>
      <x:c r="AG40" s="115" t="n">
        <x:v>31</x:v>
      </x:c>
      <x:c r="AH40" s="115" t="n">
        <x:v>32</x:v>
      </x:c>
      <x:c r="AI40" s="115" t="n">
        <x:v>33</x:v>
      </x:c>
      <x:c r="AJ40" s="115" t="n">
        <x:v>34</x:v>
      </x:c>
      <x:c r="AK40" s="115" t="n">
        <x:v>35</x:v>
      </x:c>
      <x:c r="AL40" s="115" t="n">
        <x:v>36</x:v>
      </x:c>
    </x:row>
    <x:row r="41">
      <x:c r="B41" s="115" t="str">
        <x:v>New institutions</x:v>
      </x:c>
      <x:c r="C41" s="160" t="n">
        <x:v>0</x:v>
      </x:c>
      <x:c r="D41" s="160" t="n">
        <x:v>0</x:v>
      </x:c>
      <x:c r="E41" s="160" t="n">
        <x:v>0</x:v>
      </x:c>
      <x:c r="F41" s="160" t="n">
        <x:v>0</x:v>
      </x:c>
      <x:c r="G41" s="160" t="n">
        <x:v>0</x:v>
      </x:c>
      <x:c r="H41" s="160" t="n">
        <x:v>0</x:v>
      </x:c>
      <x:c r="I41" s="160" t="n">
        <x:v>1</x:v>
      </x:c>
      <x:c r="J41" s="160" t="n">
        <x:v>0</x:v>
      </x:c>
      <x:c r="K41" s="160" t="n">
        <x:v>0</x:v>
      </x:c>
      <x:c r="L41" s="160" t="n">
        <x:v>1</x:v>
      </x:c>
      <x:c r="M41" s="160" t="n">
        <x:v>0</x:v>
      </x:c>
      <x:c r="N41" s="160" t="n">
        <x:v>0</x:v>
      </x:c>
      <x:c r="O41" s="160" t="n">
        <x:v>0</x:v>
      </x:c>
      <x:c r="P41" s="160" t="n">
        <x:v>0</x:v>
      </x:c>
      <x:c r="Q41" s="160" t="n">
        <x:v>1</x:v>
      </x:c>
      <x:c r="R41" s="160" t="n">
        <x:v>0</x:v>
      </x:c>
      <x:c r="S41" s="160" t="n">
        <x:v>0</x:v>
      </x:c>
      <x:c r="T41" s="160" t="n">
        <x:v>0</x:v>
      </x:c>
      <x:c r="U41" s="160" t="n">
        <x:v>0</x:v>
      </x:c>
      <x:c r="V41" s="160" t="n">
        <x:v>0</x:v>
      </x:c>
      <x:c r="W41" s="160" t="n">
        <x:v>1</x:v>
      </x:c>
      <x:c r="X41" s="160" t="n">
        <x:v>0</x:v>
      </x:c>
      <x:c r="Y41" s="160" t="n">
        <x:v>0</x:v>
      </x:c>
      <x:c r="Z41" s="160" t="n">
        <x:v>0</x:v>
      </x:c>
      <x:c r="AA41" s="160" t="n">
        <x:v>0</x:v>
      </x:c>
      <x:c r="AB41" s="160" t="n">
        <x:v>0</x:v>
      </x:c>
      <x:c r="AC41" s="160" t="n">
        <x:v>1</x:v>
      </x:c>
      <x:c r="AD41" s="160" t="n">
        <x:v>0</x:v>
      </x:c>
      <x:c r="AE41" s="160" t="n">
        <x:v>0</x:v>
      </x:c>
      <x:c r="AF41" s="160" t="n">
        <x:v>1</x:v>
      </x:c>
      <x:c r="AG41" s="160" t="n">
        <x:v>0</x:v>
      </x:c>
      <x:c r="AH41" s="160" t="n">
        <x:v>0</x:v>
      </x:c>
      <x:c r="AI41" s="160" t="n">
        <x:v>1</x:v>
      </x:c>
      <x:c r="AJ41" s="160" t="n">
        <x:v>0</x:v>
      </x:c>
      <x:c r="AK41" s="160" t="n">
        <x:v>0</x:v>
      </x:c>
      <x:c r="AL41" s="160" t="n">
        <x:v>1</x:v>
      </x:c>
    </x:row>
    <x:row r="42">
      <x:c r="B42" s="115" t="str">
        <x:v>New standalone SaaS accounts</x:v>
      </x:c>
      <x:c r="C42" s="160" t="n">
        <x:v>0</x:v>
      </x:c>
      <x:c r="D42" s="160" t="n">
        <x:v>0</x:v>
      </x:c>
      <x:c r="E42" s="160" t="n">
        <x:v>0</x:v>
      </x:c>
      <x:c r="F42" s="160" t="n">
        <x:v>0</x:v>
      </x:c>
      <x:c r="G42" s="160" t="n">
        <x:v>0</x:v>
      </x:c>
      <x:c r="H42" s="160" t="n">
        <x:v>0</x:v>
      </x:c>
      <x:c r="I42" s="160" t="n">
        <x:v>1</x:v>
      </x:c>
      <x:c r="J42" s="160" t="n">
        <x:v>1</x:v>
      </x:c>
      <x:c r="K42" s="160" t="n">
        <x:v>1</x:v>
      </x:c>
      <x:c r="L42" s="160" t="n">
        <x:v>1</x:v>
      </x:c>
      <x:c r="M42" s="160" t="n">
        <x:v>1</x:v>
      </x:c>
      <x:c r="N42" s="160" t="n">
        <x:v>0</x:v>
      </x:c>
      <x:c r="O42" s="160" t="n">
        <x:v>1</x:v>
      </x:c>
      <x:c r="P42" s="160" t="n">
        <x:v>1</x:v>
      </x:c>
      <x:c r="Q42" s="160" t="n">
        <x:v>1</x:v>
      </x:c>
      <x:c r="R42" s="160" t="n">
        <x:v>1</x:v>
      </x:c>
      <x:c r="S42" s="160" t="n">
        <x:v>1</x:v>
      </x:c>
      <x:c r="T42" s="160" t="n">
        <x:v>0</x:v>
      </x:c>
      <x:c r="U42" s="160" t="n">
        <x:v>1</x:v>
      </x:c>
      <x:c r="V42" s="160" t="n">
        <x:v>1</x:v>
      </x:c>
      <x:c r="W42" s="160" t="n">
        <x:v>1</x:v>
      </x:c>
      <x:c r="X42" s="160" t="n">
        <x:v>1</x:v>
      </x:c>
      <x:c r="Y42" s="160" t="n">
        <x:v>1</x:v>
      </x:c>
      <x:c r="Z42" s="160" t="n">
        <x:v>0</x:v>
      </x:c>
      <x:c r="AA42" s="160" t="n">
        <x:v>2</x:v>
      </x:c>
      <x:c r="AB42" s="160" t="n">
        <x:v>2</x:v>
      </x:c>
      <x:c r="AC42" s="160" t="n">
        <x:v>2</x:v>
      </x:c>
      <x:c r="AD42" s="160" t="n">
        <x:v>2</x:v>
      </x:c>
      <x:c r="AE42" s="160" t="n">
        <x:v>2</x:v>
      </x:c>
      <x:c r="AF42" s="160" t="n">
        <x:v>2</x:v>
      </x:c>
      <x:c r="AG42" s="160" t="n">
        <x:v>2</x:v>
      </x:c>
      <x:c r="AH42" s="160" t="n">
        <x:v>2</x:v>
      </x:c>
      <x:c r="AI42" s="160" t="n">
        <x:v>2</x:v>
      </x:c>
      <x:c r="AJ42" s="160" t="n">
        <x:v>2</x:v>
      </x:c>
      <x:c r="AK42" s="160" t="n">
        <x:v>2</x:v>
      </x:c>
      <x:c r="AL42" s="160" t="n">
        <x:v>3</x:v>
      </x:c>
    </x:row>
    <x:row r="43">
      <x:c r="B43" s="115" t="str">
        <x:v>Completed routed transactions</x:v>
      </x:c>
      <x:c r="C43" s="160" t="n">
        <x:v>0</x:v>
      </x:c>
      <x:c r="D43" s="160" t="n">
        <x:v>0</x:v>
      </x:c>
      <x:c r="E43" s="160" t="n">
        <x:v>0</x:v>
      </x:c>
      <x:c r="F43" s="160" t="n">
        <x:v>0</x:v>
      </x:c>
      <x:c r="G43" s="160" t="n">
        <x:v>0</x:v>
      </x:c>
      <x:c r="H43" s="160" t="n">
        <x:v>0</x:v>
      </x:c>
      <x:c r="I43" s="160" t="n">
        <x:v>0</x:v>
      </x:c>
      <x:c r="J43" s="160" t="n">
        <x:v>0</x:v>
      </x:c>
      <x:c r="K43" s="160" t="n">
        <x:v>0</x:v>
      </x:c>
      <x:c r="L43" s="160" t="n">
        <x:v>2</x:v>
      </x:c>
      <x:c r="M43" s="160" t="n">
        <x:v>2</x:v>
      </x:c>
      <x:c r="N43" s="160" t="n">
        <x:v>2</x:v>
      </x:c>
      <x:c r="O43" s="160" t="n">
        <x:v>2</x:v>
      </x:c>
      <x:c r="P43" s="160" t="n">
        <x:v>1</x:v>
      </x:c>
      <x:c r="Q43" s="160" t="n">
        <x:v>2</x:v>
      </x:c>
      <x:c r="R43" s="160" t="n">
        <x:v>2</x:v>
      </x:c>
      <x:c r="S43" s="160" t="n">
        <x:v>1</x:v>
      </x:c>
      <x:c r="T43" s="160" t="n">
        <x:v>2</x:v>
      </x:c>
      <x:c r="U43" s="160" t="n">
        <x:v>2</x:v>
      </x:c>
      <x:c r="V43" s="160" t="n">
        <x:v>1</x:v>
      </x:c>
      <x:c r="W43" s="160" t="n">
        <x:v>2</x:v>
      </x:c>
      <x:c r="X43" s="160" t="n">
        <x:v>2</x:v>
      </x:c>
      <x:c r="Y43" s="160" t="n">
        <x:v>1</x:v>
      </x:c>
      <x:c r="Z43" s="160" t="n">
        <x:v>2</x:v>
      </x:c>
      <x:c r="AA43" s="160" t="n">
        <x:v>5</x:v>
      </x:c>
      <x:c r="AB43" s="160" t="n">
        <x:v>5</x:v>
      </x:c>
      <x:c r="AC43" s="160" t="n">
        <x:v>5</x:v>
      </x:c>
      <x:c r="AD43" s="160" t="n">
        <x:v>5</x:v>
      </x:c>
      <x:c r="AE43" s="160" t="n">
        <x:v>5</x:v>
      </x:c>
      <x:c r="AF43" s="160" t="n">
        <x:v>5</x:v>
      </x:c>
      <x:c r="AG43" s="160" t="n">
        <x:v>5</x:v>
      </x:c>
      <x:c r="AH43" s="160" t="n">
        <x:v>5</x:v>
      </x:c>
      <x:c r="AI43" s="160" t="n">
        <x:v>5</x:v>
      </x:c>
      <x:c r="AJ43" s="160" t="n">
        <x:v>5</x:v>
      </x:c>
      <x:c r="AK43" s="160" t="n">
        <x:v>5</x:v>
      </x:c>
      <x:c r="AL43" s="160" t="n">
        <x:v>5</x:v>
      </x:c>
    </x:row>
    <x:row r="44">
      <x:c r="B44" s="115" t="str">
        <x:v>Institution losses</x:v>
      </x:c>
      <x:c r="C44" s="160" t="n">
        <x:v>0</x:v>
      </x:c>
      <x:c r="D44" s="160" t="n">
        <x:v>0</x:v>
      </x:c>
      <x:c r="E44" s="160" t="n">
        <x:v>0</x:v>
      </x:c>
      <x:c r="F44" s="160" t="n">
        <x:v>0</x:v>
      </x:c>
      <x:c r="G44" s="160" t="n">
        <x:v>0</x:v>
      </x:c>
      <x:c r="H44" s="160" t="n">
        <x:v>0</x:v>
      </x:c>
      <x:c r="I44" s="160" t="n">
        <x:v>0</x:v>
      </x:c>
      <x:c r="J44" s="160" t="n">
        <x:v>0</x:v>
      </x:c>
      <x:c r="K44" s="160" t="n">
        <x:v>0</x:v>
      </x:c>
      <x:c r="L44" s="160" t="n">
        <x:v>0</x:v>
      </x:c>
      <x:c r="M44" s="160" t="n">
        <x:v>0</x:v>
      </x:c>
      <x:c r="N44" s="160" t="n">
        <x:v>0</x:v>
      </x:c>
      <x:c r="O44" s="160" t="n">
        <x:v>0</x:v>
      </x:c>
      <x:c r="P44" s="160" t="n">
        <x:v>0</x:v>
      </x:c>
      <x:c r="Q44" s="160" t="n">
        <x:v>0</x:v>
      </x:c>
      <x:c r="R44" s="160" t="n">
        <x:v>0</x:v>
      </x:c>
      <x:c r="S44" s="160" t="n">
        <x:v>0</x:v>
      </x:c>
      <x:c r="T44" s="160" t="n">
        <x:v>0</x:v>
      </x:c>
      <x:c r="U44" s="160" t="n">
        <x:v>0</x:v>
      </x:c>
      <x:c r="V44" s="160" t="n">
        <x:v>0</x:v>
      </x:c>
      <x:c r="W44" s="160" t="n">
        <x:v>0</x:v>
      </x:c>
      <x:c r="X44" s="160" t="n">
        <x:v>0</x:v>
      </x:c>
      <x:c r="Y44" s="160" t="n">
        <x:v>0</x:v>
      </x:c>
      <x:c r="Z44" s="160" t="n">
        <x:v>0</x:v>
      </x:c>
      <x:c r="AA44" s="160" t="n">
        <x:v>0</x:v>
      </x:c>
      <x:c r="AB44" s="160" t="n">
        <x:v>0</x:v>
      </x:c>
      <x:c r="AC44" s="160" t="n">
        <x:v>0</x:v>
      </x:c>
      <x:c r="AD44" s="160" t="n">
        <x:v>0</x:v>
      </x:c>
      <x:c r="AE44" s="160" t="n">
        <x:v>0</x:v>
      </x:c>
      <x:c r="AF44" s="160" t="n">
        <x:v>0</x:v>
      </x:c>
      <x:c r="AG44" s="160" t="n">
        <x:v>0</x:v>
      </x:c>
      <x:c r="AH44" s="160" t="n">
        <x:v>0</x:v>
      </x:c>
      <x:c r="AI44" s="160" t="n">
        <x:v>0</x:v>
      </x:c>
      <x:c r="AJ44" s="160" t="n">
        <x:v>0</x:v>
      </x:c>
      <x:c r="AK44" s="160" t="n">
        <x:v>0</x:v>
      </x:c>
      <x:c r="AL44" s="160" t="n">
        <x:v>0</x:v>
      </x:c>
    </x:row>
    <x:row r="45">
      <x:c r="B45" s="115" t="str">
        <x:v>SaaS account losses</x:v>
      </x:c>
      <x:c r="C45" s="160" t="n">
        <x:v>0</x:v>
      </x:c>
      <x:c r="D45" s="160" t="n">
        <x:v>0</x:v>
      </x:c>
      <x:c r="E45" s="160" t="n">
        <x:v>0</x:v>
      </x:c>
      <x:c r="F45" s="160" t="n">
        <x:v>0</x:v>
      </x:c>
      <x:c r="G45" s="160" t="n">
        <x:v>0</x:v>
      </x:c>
      <x:c r="H45" s="160" t="n">
        <x:v>0</x:v>
      </x:c>
      <x:c r="I45" s="160" t="n">
        <x:v>0</x:v>
      </x:c>
      <x:c r="J45" s="160" t="n">
        <x:v>0</x:v>
      </x:c>
      <x:c r="K45" s="160" t="n">
        <x:v>0</x:v>
      </x:c>
      <x:c r="L45" s="160" t="n">
        <x:v>0</x:v>
      </x:c>
      <x:c r="M45" s="160" t="n">
        <x:v>0</x:v>
      </x:c>
      <x:c r="N45" s="160" t="n">
        <x:v>0</x:v>
      </x:c>
      <x:c r="O45" s="160" t="n">
        <x:v>0</x:v>
      </x:c>
      <x:c r="P45" s="160" t="n">
        <x:v>0</x:v>
      </x:c>
      <x:c r="Q45" s="160" t="n">
        <x:v>0</x:v>
      </x:c>
      <x:c r="R45" s="160" t="n">
        <x:v>0</x:v>
      </x:c>
      <x:c r="S45" s="160" t="n">
        <x:v>0</x:v>
      </x:c>
      <x:c r="T45" s="160" t="n">
        <x:v>0</x:v>
      </x:c>
      <x:c r="U45" s="160" t="n">
        <x:v>0</x:v>
      </x:c>
      <x:c r="V45" s="160" t="n">
        <x:v>0</x:v>
      </x:c>
      <x:c r="W45" s="160" t="n">
        <x:v>0</x:v>
      </x:c>
      <x:c r="X45" s="160" t="n">
        <x:v>0</x:v>
      </x:c>
      <x:c r="Y45" s="160" t="n">
        <x:v>0</x:v>
      </x:c>
      <x:c r="Z45" s="160" t="n">
        <x:v>0</x:v>
      </x:c>
      <x:c r="AA45" s="160" t="n">
        <x:v>0</x:v>
      </x:c>
      <x:c r="AB45" s="160" t="n">
        <x:v>0</x:v>
      </x:c>
      <x:c r="AC45" s="160" t="n">
        <x:v>0</x:v>
      </x:c>
      <x:c r="AD45" s="160" t="n">
        <x:v>0</x:v>
      </x:c>
      <x:c r="AE45" s="160" t="n">
        <x:v>0</x:v>
      </x:c>
      <x:c r="AF45" s="160" t="n">
        <x:v>0</x:v>
      </x:c>
      <x:c r="AG45" s="160" t="n">
        <x:v>0</x:v>
      </x:c>
      <x:c r="AH45" s="160" t="n">
        <x:v>0</x:v>
      </x:c>
      <x:c r="AI45" s="160" t="n">
        <x:v>0</x:v>
      </x:c>
      <x:c r="AJ45" s="160" t="n">
        <x:v>0</x:v>
      </x:c>
      <x:c r="AK45" s="160" t="n">
        <x:v>0</x:v>
      </x:c>
      <x:c r="AL45" s="160" t="n">
        <x:v>0</x:v>
      </x:c>
    </x:row>
    <x:row r="46">
      <x:c r="B46" s="115"/>
      <x:c r="C46" s="115"/>
      <x:c r="D46" s="115"/>
      <x:c r="E46" s="115"/>
      <x:c r="F46" s="115"/>
      <x:c r="G46" s="115"/>
      <x:c r="H46" s="115"/>
      <x:c r="I46" s="115"/>
      <x:c r="J46" s="115"/>
      <x:c r="K46" s="115"/>
      <x:c r="L46" s="115"/>
      <x:c r="M46" s="115"/>
      <x:c r="N46" s="115"/>
      <x:c r="O46" s="115"/>
      <x:c r="P46" s="115"/>
      <x:c r="Q46" s="115"/>
      <x:c r="R46" s="115"/>
      <x:c r="S46" s="115"/>
      <x:c r="T46" s="115"/>
      <x:c r="U46" s="115"/>
      <x:c r="V46" s="115"/>
      <x:c r="W46" s="115"/>
      <x:c r="X46" s="115"/>
      <x:c r="Y46" s="115"/>
      <x:c r="Z46" s="115"/>
      <x:c r="AA46" s="115"/>
      <x:c r="AB46" s="115"/>
      <x:c r="AC46" s="115"/>
      <x:c r="AD46" s="115"/>
      <x:c r="AE46" s="115"/>
      <x:c r="AF46" s="115"/>
      <x:c r="AG46" s="115"/>
      <x:c r="AH46" s="115"/>
      <x:c r="AI46" s="115"/>
      <x:c r="AJ46" s="115"/>
      <x:c r="AK46" s="115"/>
      <x:c r="AL46" s="115"/>
    </x:row>
    <x:row r="47" ht="22" customHeight="1">
      <x:c r="B47" s="116" t="str">
        <x:v>Monthly profile inputs above are proposed acquisition/retention assumptions, not observed customers. Zero losses assume retention and must be stress-tested. Under delay, the profile shifts; case factors reduce additions. Supply, buyer, legal and provider evidence remain prerequisites.</x:v>
      </x:c>
      <x:c r="C47" s="116"/>
      <x:c r="D47" s="116"/>
      <x:c r="E47" s="116"/>
      <x:c r="F47" s="116"/>
      <x:c r="G47" s="116"/>
      <x:c r="H47" s="116"/>
      <x:c r="I47" s="115"/>
      <x:c r="J47" s="115"/>
      <x:c r="K47" s="115"/>
      <x:c r="L47" s="115"/>
      <x:c r="M47" s="115"/>
      <x:c r="N47" s="115"/>
      <x:c r="O47" s="115"/>
      <x:c r="P47" s="115"/>
      <x:c r="Q47" s="115"/>
      <x:c r="R47" s="115"/>
      <x:c r="S47" s="115"/>
      <x:c r="T47" s="115"/>
      <x:c r="U47" s="115"/>
      <x:c r="V47" s="115"/>
      <x:c r="W47" s="115"/>
      <x:c r="X47" s="115"/>
      <x:c r="Y47" s="115"/>
      <x:c r="Z47" s="115"/>
      <x:c r="AA47" s="115"/>
      <x:c r="AB47" s="115"/>
      <x:c r="AC47" s="115"/>
      <x:c r="AD47" s="115"/>
      <x:c r="AE47" s="115"/>
      <x:c r="AF47" s="115"/>
      <x:c r="AG47" s="115"/>
      <x:c r="AH47" s="115"/>
      <x:c r="AI47" s="115"/>
      <x:c r="AJ47" s="115"/>
      <x:c r="AK47" s="115"/>
      <x:c r="AL47" s="115"/>
    </x:row>
    <x:row r="48" ht="22" customHeight="1">
      <x:c r="B48" s="116"/>
      <x:c r="C48" s="116"/>
      <x:c r="D48" s="116"/>
      <x:c r="E48" s="116"/>
      <x:c r="F48" s="116"/>
      <x:c r="G48" s="116"/>
      <x:c r="H48" s="116"/>
      <x:c r="I48" s="115"/>
      <x:c r="J48" s="115"/>
      <x:c r="K48" s="115"/>
      <x:c r="L48" s="115"/>
      <x:c r="M48" s="115"/>
      <x:c r="N48" s="115"/>
      <x:c r="O48" s="115"/>
      <x:c r="P48" s="115"/>
      <x:c r="Q48" s="115"/>
      <x:c r="R48" s="115"/>
      <x:c r="S48" s="115"/>
      <x:c r="T48" s="115"/>
      <x:c r="U48" s="115"/>
      <x:c r="V48" s="115"/>
      <x:c r="W48" s="115"/>
      <x:c r="X48" s="115"/>
      <x:c r="Y48" s="115"/>
      <x:c r="Z48" s="115"/>
      <x:c r="AA48" s="115"/>
      <x:c r="AB48" s="115"/>
      <x:c r="AC48" s="115"/>
      <x:c r="AD48" s="115"/>
      <x:c r="AE48" s="115"/>
      <x:c r="AF48" s="115"/>
      <x:c r="AG48" s="115"/>
      <x:c r="AH48" s="115"/>
      <x:c r="AI48" s="115"/>
      <x:c r="AJ48" s="115"/>
      <x:c r="AK48" s="115"/>
      <x:c r="AL48" s="115"/>
    </x:row>
    <x:row r="49" ht="22" customHeight="1">
      <x:c r="B49" s="116"/>
      <x:c r="C49" s="116"/>
      <x:c r="D49" s="116"/>
      <x:c r="E49" s="116"/>
      <x:c r="F49" s="116"/>
      <x:c r="G49" s="116"/>
      <x:c r="H49" s="116"/>
      <x:c r="I49" s="115"/>
      <x:c r="J49" s="115"/>
      <x:c r="K49" s="115"/>
      <x:c r="L49" s="115"/>
      <x:c r="M49" s="115"/>
      <x:c r="N49" s="115"/>
      <x:c r="O49" s="115"/>
      <x:c r="P49" s="115"/>
      <x:c r="Q49" s="115"/>
      <x:c r="R49" s="115"/>
      <x:c r="S49" s="115"/>
      <x:c r="T49" s="115"/>
      <x:c r="U49" s="115"/>
      <x:c r="V49" s="115"/>
      <x:c r="W49" s="115"/>
      <x:c r="X49" s="115"/>
      <x:c r="Y49" s="115"/>
      <x:c r="Z49" s="115"/>
      <x:c r="AA49" s="115"/>
      <x:c r="AB49" s="115"/>
      <x:c r="AC49" s="115"/>
      <x:c r="AD49" s="115"/>
      <x:c r="AE49" s="115"/>
      <x:c r="AF49" s="115"/>
      <x:c r="AG49" s="115"/>
      <x:c r="AH49" s="115"/>
      <x:c r="AI49" s="115"/>
      <x:c r="AJ49" s="115"/>
      <x:c r="AK49" s="115"/>
      <x:c r="AL49" s="115"/>
    </x:row>
    <x:row r="50" ht="22" customHeight="1">
      <x:c r="B50" s="116"/>
      <x:c r="C50" s="116"/>
      <x:c r="D50" s="116"/>
      <x:c r="E50" s="116"/>
      <x:c r="F50" s="116"/>
      <x:c r="G50" s="116"/>
      <x:c r="H50" s="116"/>
      <x:c r="I50" s="115"/>
      <x:c r="J50" s="115"/>
      <x:c r="K50" s="115"/>
      <x:c r="L50" s="115"/>
      <x:c r="M50" s="115"/>
      <x:c r="N50" s="115"/>
      <x:c r="O50" s="115"/>
      <x:c r="P50" s="115"/>
      <x:c r="Q50" s="115"/>
      <x:c r="R50" s="115"/>
      <x:c r="S50" s="115"/>
      <x:c r="T50" s="115"/>
      <x:c r="U50" s="115"/>
      <x:c r="V50" s="115"/>
      <x:c r="W50" s="115"/>
      <x:c r="X50" s="115"/>
      <x:c r="Y50" s="115"/>
      <x:c r="Z50" s="115"/>
      <x:c r="AA50" s="115"/>
      <x:c r="AB50" s="115"/>
      <x:c r="AC50" s="115"/>
      <x:c r="AD50" s="115"/>
      <x:c r="AE50" s="115"/>
      <x:c r="AF50" s="115"/>
      <x:c r="AG50" s="115"/>
      <x:c r="AH50" s="115"/>
      <x:c r="AI50" s="115"/>
      <x:c r="AJ50" s="115"/>
      <x:c r="AK50" s="115"/>
      <x:c r="AL50" s="115"/>
    </x:row>
    <x:row r="51">
      <x:c r="B51" s="115"/>
      <x:c r="C51" s="115"/>
      <x:c r="D51" s="115"/>
      <x:c r="E51" s="115"/>
      <x:c r="F51" s="115"/>
      <x:c r="G51" s="115"/>
      <x:c r="H51" s="115"/>
      <x:c r="I51" s="115"/>
      <x:c r="J51" s="115"/>
      <x:c r="K51" s="115"/>
      <x:c r="L51" s="115"/>
      <x:c r="M51" s="115"/>
      <x:c r="N51" s="115"/>
      <x:c r="O51" s="115"/>
      <x:c r="P51" s="115"/>
      <x:c r="Q51" s="115"/>
      <x:c r="R51" s="115"/>
      <x:c r="S51" s="115"/>
      <x:c r="T51" s="115"/>
      <x:c r="U51" s="115"/>
      <x:c r="V51" s="115"/>
      <x:c r="W51" s="115"/>
      <x:c r="X51" s="115"/>
      <x:c r="Y51" s="115"/>
      <x:c r="Z51" s="115"/>
      <x:c r="AA51" s="115"/>
      <x:c r="AB51" s="115"/>
      <x:c r="AC51" s="115"/>
      <x:c r="AD51" s="115"/>
      <x:c r="AE51" s="115"/>
      <x:c r="AF51" s="115"/>
      <x:c r="AG51" s="115"/>
      <x:c r="AH51" s="115"/>
      <x:c r="AI51" s="115"/>
      <x:c r="AJ51" s="115"/>
      <x:c r="AK51" s="115"/>
      <x:c r="AL51" s="115"/>
    </x:row>
    <x:row r="52">
      <x:c r="B52" s="115"/>
      <x:c r="C52" s="115"/>
      <x:c r="D52" s="115"/>
      <x:c r="E52" s="115"/>
      <x:c r="F52" s="115"/>
      <x:c r="G52" s="115"/>
      <x:c r="H52" s="115"/>
      <x:c r="I52" s="115"/>
      <x:c r="J52" s="115"/>
      <x:c r="K52" s="115"/>
      <x:c r="L52" s="115"/>
      <x:c r="M52" s="115"/>
      <x:c r="N52" s="115"/>
      <x:c r="O52" s="115"/>
      <x:c r="P52" s="115"/>
      <x:c r="Q52" s="115"/>
      <x:c r="R52" s="115"/>
      <x:c r="S52" s="115"/>
      <x:c r="T52" s="115"/>
      <x:c r="U52" s="115"/>
      <x:c r="V52" s="115"/>
      <x:c r="W52" s="115"/>
      <x:c r="X52" s="115"/>
      <x:c r="Y52" s="115"/>
      <x:c r="Z52" s="115"/>
      <x:c r="AA52" s="115"/>
      <x:c r="AB52" s="115"/>
      <x:c r="AC52" s="115"/>
      <x:c r="AD52" s="115"/>
      <x:c r="AE52" s="115"/>
      <x:c r="AF52" s="115"/>
      <x:c r="AG52" s="115"/>
      <x:c r="AH52" s="115"/>
      <x:c r="AI52" s="115"/>
      <x:c r="AJ52" s="115"/>
      <x:c r="AK52" s="115"/>
      <x:c r="AL52" s="115"/>
    </x:row>
    <x:row r="53">
      <x:c r="B53" s="115"/>
      <x:c r="C53" s="115"/>
      <x:c r="D53" s="115"/>
      <x:c r="E53" s="115"/>
      <x:c r="F53" s="115"/>
      <x:c r="G53" s="115"/>
      <x:c r="H53" s="115"/>
      <x:c r="I53" s="115"/>
      <x:c r="J53" s="115"/>
      <x:c r="K53" s="115"/>
      <x:c r="L53" s="115"/>
      <x:c r="M53" s="115"/>
      <x:c r="N53" s="115"/>
      <x:c r="O53" s="115"/>
      <x:c r="P53" s="115"/>
      <x:c r="Q53" s="115"/>
      <x:c r="R53" s="115"/>
      <x:c r="S53" s="115"/>
      <x:c r="T53" s="115"/>
      <x:c r="U53" s="115"/>
      <x:c r="V53" s="115"/>
      <x:c r="W53" s="115"/>
      <x:c r="X53" s="115"/>
      <x:c r="Y53" s="115"/>
      <x:c r="Z53" s="115"/>
      <x:c r="AA53" s="115"/>
      <x:c r="AB53" s="115"/>
      <x:c r="AC53" s="115"/>
      <x:c r="AD53" s="115"/>
      <x:c r="AE53" s="115"/>
      <x:c r="AF53" s="115"/>
      <x:c r="AG53" s="115"/>
      <x:c r="AH53" s="115"/>
      <x:c r="AI53" s="115"/>
      <x:c r="AJ53" s="115"/>
      <x:c r="AK53" s="115"/>
      <x:c r="AL53" s="115"/>
    </x:row>
    <x:row r="54">
      <x:c r="B54" s="115"/>
      <x:c r="C54" s="115"/>
      <x:c r="D54" s="115"/>
      <x:c r="E54" s="115"/>
      <x:c r="F54" s="115"/>
      <x:c r="G54" s="115"/>
      <x:c r="H54" s="115"/>
      <x:c r="I54" s="115"/>
      <x:c r="J54" s="115"/>
      <x:c r="K54" s="115"/>
      <x:c r="L54" s="115"/>
      <x:c r="M54" s="115"/>
      <x:c r="N54" s="115"/>
      <x:c r="O54" s="115"/>
      <x:c r="P54" s="115"/>
      <x:c r="Q54" s="115"/>
      <x:c r="R54" s="115"/>
      <x:c r="S54" s="115"/>
      <x:c r="T54" s="115"/>
      <x:c r="U54" s="115"/>
      <x:c r="V54" s="115"/>
      <x:c r="W54" s="115"/>
      <x:c r="X54" s="115"/>
      <x:c r="Y54" s="115"/>
      <x:c r="Z54" s="115"/>
      <x:c r="AA54" s="115"/>
      <x:c r="AB54" s="115"/>
      <x:c r="AC54" s="115"/>
      <x:c r="AD54" s="115"/>
      <x:c r="AE54" s="115"/>
      <x:c r="AF54" s="115"/>
      <x:c r="AG54" s="115"/>
      <x:c r="AH54" s="115"/>
      <x:c r="AI54" s="115"/>
      <x:c r="AJ54" s="115"/>
      <x:c r="AK54" s="115"/>
      <x:c r="AL54" s="115"/>
    </x:row>
    <x:row r="55">
      <x:c r="B55" s="115"/>
      <x:c r="C55" s="115"/>
      <x:c r="D55" s="115"/>
      <x:c r="E55" s="115"/>
      <x:c r="F55" s="115"/>
      <x:c r="G55" s="115"/>
      <x:c r="H55" s="115"/>
      <x:c r="I55" s="115"/>
      <x:c r="J55" s="115"/>
      <x:c r="K55" s="115"/>
      <x:c r="L55" s="115"/>
      <x:c r="M55" s="115"/>
      <x:c r="N55" s="115"/>
      <x:c r="O55" s="115"/>
      <x:c r="P55" s="115"/>
      <x:c r="Q55" s="115"/>
      <x:c r="R55" s="115"/>
      <x:c r="S55" s="115"/>
      <x:c r="T55" s="115"/>
      <x:c r="U55" s="115"/>
      <x:c r="V55" s="115"/>
      <x:c r="W55" s="115"/>
      <x:c r="X55" s="115"/>
      <x:c r="Y55" s="115"/>
      <x:c r="Z55" s="115"/>
      <x:c r="AA55" s="115"/>
      <x:c r="AB55" s="115"/>
      <x:c r="AC55" s="115"/>
      <x:c r="AD55" s="115"/>
      <x:c r="AE55" s="115"/>
      <x:c r="AF55" s="115"/>
      <x:c r="AG55" s="115"/>
      <x:c r="AH55" s="115"/>
      <x:c r="AI55" s="115"/>
      <x:c r="AJ55" s="115"/>
      <x:c r="AK55" s="115"/>
      <x:c r="AL55" s="115"/>
    </x:row>
    <x:row r="56">
      <x:c r="B56" s="115"/>
      <x:c r="C56" s="115"/>
      <x:c r="D56" s="115"/>
      <x:c r="E56" s="115"/>
      <x:c r="F56" s="115"/>
      <x:c r="G56" s="115"/>
      <x:c r="H56" s="115"/>
      <x:c r="I56" s="115"/>
      <x:c r="J56" s="115"/>
      <x:c r="K56" s="115"/>
      <x:c r="L56" s="115"/>
      <x:c r="M56" s="115"/>
      <x:c r="N56" s="115"/>
      <x:c r="O56" s="115"/>
      <x:c r="P56" s="115"/>
      <x:c r="Q56" s="115"/>
      <x:c r="R56" s="115"/>
      <x:c r="S56" s="115"/>
      <x:c r="T56" s="115"/>
      <x:c r="U56" s="115"/>
      <x:c r="V56" s="115"/>
      <x:c r="W56" s="115"/>
      <x:c r="X56" s="115"/>
      <x:c r="Y56" s="115"/>
      <x:c r="Z56" s="115"/>
      <x:c r="AA56" s="115"/>
      <x:c r="AB56" s="115"/>
      <x:c r="AC56" s="115"/>
      <x:c r="AD56" s="115"/>
      <x:c r="AE56" s="115"/>
      <x:c r="AF56" s="115"/>
      <x:c r="AG56" s="115"/>
      <x:c r="AH56" s="115"/>
      <x:c r="AI56" s="115"/>
      <x:c r="AJ56" s="115"/>
      <x:c r="AK56" s="115"/>
      <x:c r="AL56" s="115"/>
    </x:row>
    <x:row r="57">
      <x:c r="B57" s="115"/>
      <x:c r="C57" s="115"/>
      <x:c r="D57" s="115"/>
      <x:c r="E57" s="115"/>
      <x:c r="F57" s="115"/>
      <x:c r="G57" s="115"/>
      <x:c r="H57" s="115"/>
      <x:c r="I57" s="115"/>
      <x:c r="J57" s="115"/>
      <x:c r="K57" s="115"/>
      <x:c r="L57" s="115"/>
      <x:c r="M57" s="115"/>
      <x:c r="N57" s="115"/>
      <x:c r="O57" s="115"/>
      <x:c r="P57" s="115"/>
      <x:c r="Q57" s="115"/>
      <x:c r="R57" s="115"/>
      <x:c r="S57" s="115"/>
      <x:c r="T57" s="115"/>
      <x:c r="U57" s="115"/>
      <x:c r="V57" s="115"/>
      <x:c r="W57" s="115"/>
      <x:c r="X57" s="115"/>
      <x:c r="Y57" s="115"/>
      <x:c r="Z57" s="115"/>
      <x:c r="AA57" s="115"/>
      <x:c r="AB57" s="115"/>
      <x:c r="AC57" s="115"/>
      <x:c r="AD57" s="115"/>
      <x:c r="AE57" s="115"/>
      <x:c r="AF57" s="115"/>
      <x:c r="AG57" s="115"/>
      <x:c r="AH57" s="115"/>
      <x:c r="AI57" s="115"/>
      <x:c r="AJ57" s="115"/>
      <x:c r="AK57" s="115"/>
      <x:c r="AL57" s="115"/>
    </x:row>
    <x:row r="58">
      <x:c r="B58" s="115"/>
      <x:c r="C58" s="115"/>
      <x:c r="D58" s="115"/>
      <x:c r="E58" s="115"/>
      <x:c r="F58" s="115"/>
      <x:c r="G58" s="115"/>
      <x:c r="H58" s="115"/>
      <x:c r="I58" s="115"/>
      <x:c r="J58" s="115"/>
      <x:c r="K58" s="115"/>
      <x:c r="L58" s="115"/>
      <x:c r="M58" s="115"/>
      <x:c r="N58" s="115"/>
      <x:c r="O58" s="115"/>
      <x:c r="P58" s="115"/>
      <x:c r="Q58" s="115"/>
      <x:c r="R58" s="115"/>
      <x:c r="S58" s="115"/>
      <x:c r="T58" s="115"/>
      <x:c r="U58" s="115"/>
      <x:c r="V58" s="115"/>
      <x:c r="W58" s="115"/>
      <x:c r="X58" s="115"/>
      <x:c r="Y58" s="115"/>
      <x:c r="Z58" s="115"/>
      <x:c r="AA58" s="115"/>
      <x:c r="AB58" s="115"/>
      <x:c r="AC58" s="115"/>
      <x:c r="AD58" s="115"/>
      <x:c r="AE58" s="115"/>
      <x:c r="AF58" s="115"/>
      <x:c r="AG58" s="115"/>
      <x:c r="AH58" s="115"/>
      <x:c r="AI58" s="115"/>
      <x:c r="AJ58" s="115"/>
      <x:c r="AK58" s="115"/>
      <x:c r="AL58" s="115"/>
    </x:row>
    <x:row r="59">
      <x:c r="B59" s="115"/>
      <x:c r="C59" s="115"/>
      <x:c r="D59" s="115"/>
      <x:c r="E59" s="115"/>
      <x:c r="F59" s="115"/>
      <x:c r="G59" s="115"/>
      <x:c r="H59" s="115"/>
      <x:c r="I59" s="115"/>
      <x:c r="J59" s="115"/>
      <x:c r="K59" s="115"/>
      <x:c r="L59" s="115"/>
      <x:c r="M59" s="115"/>
      <x:c r="N59" s="115"/>
      <x:c r="O59" s="115"/>
      <x:c r="P59" s="115"/>
      <x:c r="Q59" s="115"/>
      <x:c r="R59" s="115"/>
      <x:c r="S59" s="115"/>
      <x:c r="T59" s="115"/>
      <x:c r="U59" s="115"/>
      <x:c r="V59" s="115"/>
      <x:c r="W59" s="115"/>
      <x:c r="X59" s="115"/>
      <x:c r="Y59" s="115"/>
      <x:c r="Z59" s="115"/>
      <x:c r="AA59" s="115"/>
      <x:c r="AB59" s="115"/>
      <x:c r="AC59" s="115"/>
      <x:c r="AD59" s="115"/>
      <x:c r="AE59" s="115"/>
      <x:c r="AF59" s="115"/>
      <x:c r="AG59" s="115"/>
      <x:c r="AH59" s="115"/>
      <x:c r="AI59" s="115"/>
      <x:c r="AJ59" s="115"/>
      <x:c r="AK59" s="115"/>
      <x:c r="AL59" s="115"/>
    </x:row>
    <x:row r="60">
      <x:c r="B60" s="115"/>
      <x:c r="C60" s="115"/>
      <x:c r="D60" s="115"/>
      <x:c r="E60" s="115"/>
      <x:c r="F60" s="115"/>
      <x:c r="G60" s="115"/>
      <x:c r="H60" s="115"/>
      <x:c r="I60" s="115"/>
      <x:c r="J60" s="115"/>
      <x:c r="K60" s="115"/>
      <x:c r="L60" s="115"/>
      <x:c r="M60" s="115"/>
      <x:c r="N60" s="115"/>
      <x:c r="O60" s="115"/>
      <x:c r="P60" s="115"/>
      <x:c r="Q60" s="115"/>
      <x:c r="R60" s="115"/>
      <x:c r="S60" s="115"/>
      <x:c r="T60" s="115"/>
      <x:c r="U60" s="115"/>
      <x:c r="V60" s="115"/>
      <x:c r="W60" s="115"/>
      <x:c r="X60" s="115"/>
      <x:c r="Y60" s="115"/>
      <x:c r="Z60" s="115"/>
      <x:c r="AA60" s="115"/>
      <x:c r="AB60" s="115"/>
      <x:c r="AC60" s="115"/>
      <x:c r="AD60" s="115"/>
      <x:c r="AE60" s="115"/>
      <x:c r="AF60" s="115"/>
      <x:c r="AG60" s="115"/>
      <x:c r="AH60" s="115"/>
      <x:c r="AI60" s="115"/>
      <x:c r="AJ60" s="115"/>
      <x:c r="AK60" s="115"/>
      <x:c r="AL60" s="115"/>
    </x:row>
    <x:row r="61">
      <x:c r="B61" s="115"/>
      <x:c r="C61" s="115"/>
      <x:c r="D61" s="115"/>
      <x:c r="E61" s="115"/>
      <x:c r="F61" s="115"/>
      <x:c r="G61" s="115"/>
      <x:c r="H61" s="115"/>
      <x:c r="I61" s="115"/>
      <x:c r="J61" s="115"/>
      <x:c r="K61" s="115"/>
      <x:c r="L61" s="115"/>
      <x:c r="M61" s="115"/>
      <x:c r="N61" s="115"/>
      <x:c r="O61" s="115"/>
      <x:c r="P61" s="115"/>
      <x:c r="Q61" s="115"/>
      <x:c r="R61" s="115"/>
      <x:c r="S61" s="115"/>
      <x:c r="T61" s="115"/>
      <x:c r="U61" s="115"/>
      <x:c r="V61" s="115"/>
      <x:c r="W61" s="115"/>
      <x:c r="X61" s="115"/>
      <x:c r="Y61" s="115"/>
      <x:c r="Z61" s="115"/>
      <x:c r="AA61" s="115"/>
      <x:c r="AB61" s="115"/>
      <x:c r="AC61" s="115"/>
      <x:c r="AD61" s="115"/>
      <x:c r="AE61" s="115"/>
      <x:c r="AF61" s="115"/>
      <x:c r="AG61" s="115"/>
      <x:c r="AH61" s="115"/>
      <x:c r="AI61" s="115"/>
      <x:c r="AJ61" s="115"/>
      <x:c r="AK61" s="115"/>
      <x:c r="AL61" s="115"/>
    </x:row>
    <x:row r="62">
      <x:c r="B62" s="115"/>
      <x:c r="C62" s="115"/>
      <x:c r="D62" s="115"/>
      <x:c r="E62" s="115"/>
      <x:c r="F62" s="115"/>
      <x:c r="G62" s="115"/>
      <x:c r="H62" s="115"/>
      <x:c r="I62" s="115"/>
      <x:c r="J62" s="115"/>
      <x:c r="K62" s="115"/>
      <x:c r="L62" s="115"/>
      <x:c r="M62" s="115"/>
      <x:c r="N62" s="115"/>
      <x:c r="O62" s="115"/>
      <x:c r="P62" s="115"/>
      <x:c r="Q62" s="115"/>
      <x:c r="R62" s="115"/>
      <x:c r="S62" s="115"/>
      <x:c r="T62" s="115"/>
      <x:c r="U62" s="115"/>
      <x:c r="V62" s="115"/>
      <x:c r="W62" s="115"/>
      <x:c r="X62" s="115"/>
      <x:c r="Y62" s="115"/>
      <x:c r="Z62" s="115"/>
      <x:c r="AA62" s="115"/>
      <x:c r="AB62" s="115"/>
      <x:c r="AC62" s="115"/>
      <x:c r="AD62" s="115"/>
      <x:c r="AE62" s="115"/>
      <x:c r="AF62" s="115"/>
      <x:c r="AG62" s="115"/>
      <x:c r="AH62" s="115"/>
      <x:c r="AI62" s="115"/>
      <x:c r="AJ62" s="115"/>
      <x:c r="AK62" s="115"/>
      <x:c r="AL62" s="115"/>
    </x:row>
    <x:row r="63">
      <x:c r="B63" s="115"/>
      <x:c r="C63" s="115"/>
      <x:c r="D63" s="115"/>
      <x:c r="E63" s="115"/>
      <x:c r="F63" s="115"/>
      <x:c r="G63" s="115"/>
      <x:c r="H63" s="115"/>
      <x:c r="I63" s="115"/>
      <x:c r="J63" s="115"/>
      <x:c r="K63" s="115"/>
      <x:c r="L63" s="115"/>
      <x:c r="M63" s="115"/>
      <x:c r="N63" s="115"/>
      <x:c r="O63" s="115"/>
      <x:c r="P63" s="115"/>
      <x:c r="Q63" s="115"/>
      <x:c r="R63" s="115"/>
      <x:c r="S63" s="115"/>
      <x:c r="T63" s="115"/>
      <x:c r="U63" s="115"/>
      <x:c r="V63" s="115"/>
      <x:c r="W63" s="115"/>
      <x:c r="X63" s="115"/>
      <x:c r="Y63" s="115"/>
      <x:c r="Z63" s="115"/>
      <x:c r="AA63" s="115"/>
      <x:c r="AB63" s="115"/>
      <x:c r="AC63" s="115"/>
      <x:c r="AD63" s="115"/>
      <x:c r="AE63" s="115"/>
      <x:c r="AF63" s="115"/>
      <x:c r="AG63" s="115"/>
      <x:c r="AH63" s="115"/>
      <x:c r="AI63" s="115"/>
      <x:c r="AJ63" s="115"/>
      <x:c r="AK63" s="115"/>
      <x:c r="AL63" s="115"/>
    </x:row>
    <x:row r="64">
      <x:c r="B64" s="115"/>
      <x:c r="C64" s="115"/>
      <x:c r="D64" s="115"/>
      <x:c r="E64" s="115"/>
      <x:c r="F64" s="115"/>
      <x:c r="G64" s="115"/>
      <x:c r="H64" s="115"/>
      <x:c r="I64" s="115"/>
      <x:c r="J64" s="115"/>
      <x:c r="K64" s="115"/>
      <x:c r="L64" s="115"/>
      <x:c r="M64" s="115"/>
      <x:c r="N64" s="115"/>
      <x:c r="O64" s="115"/>
      <x:c r="P64" s="115"/>
      <x:c r="Q64" s="115"/>
      <x:c r="R64" s="115"/>
      <x:c r="S64" s="115"/>
      <x:c r="T64" s="115"/>
      <x:c r="U64" s="115"/>
      <x:c r="V64" s="115"/>
      <x:c r="W64" s="115"/>
      <x:c r="X64" s="115"/>
      <x:c r="Y64" s="115"/>
      <x:c r="Z64" s="115"/>
      <x:c r="AA64" s="115"/>
      <x:c r="AB64" s="115"/>
      <x:c r="AC64" s="115"/>
      <x:c r="AD64" s="115"/>
      <x:c r="AE64" s="115"/>
      <x:c r="AF64" s="115"/>
      <x:c r="AG64" s="115"/>
      <x:c r="AH64" s="115"/>
      <x:c r="AI64" s="115"/>
      <x:c r="AJ64" s="115"/>
      <x:c r="AK64" s="115"/>
      <x:c r="AL64" s="115"/>
    </x:row>
    <x:row r="65">
      <x:c r="B65" s="115"/>
      <x:c r="C65" s="115"/>
      <x:c r="D65" s="115"/>
      <x:c r="E65" s="115"/>
      <x:c r="F65" s="115"/>
      <x:c r="G65" s="115"/>
      <x:c r="H65" s="115"/>
      <x:c r="I65" s="115"/>
      <x:c r="J65" s="115"/>
      <x:c r="K65" s="115"/>
      <x:c r="L65" s="115"/>
      <x:c r="M65" s="115"/>
      <x:c r="N65" s="115"/>
      <x:c r="O65" s="115"/>
      <x:c r="P65" s="115"/>
      <x:c r="Q65" s="115"/>
      <x:c r="R65" s="115"/>
      <x:c r="S65" s="115"/>
      <x:c r="T65" s="115"/>
      <x:c r="U65" s="115"/>
      <x:c r="V65" s="115"/>
      <x:c r="W65" s="115"/>
      <x:c r="X65" s="115"/>
      <x:c r="Y65" s="115"/>
      <x:c r="Z65" s="115"/>
      <x:c r="AA65" s="115"/>
      <x:c r="AB65" s="115"/>
      <x:c r="AC65" s="115"/>
      <x:c r="AD65" s="115"/>
      <x:c r="AE65" s="115"/>
      <x:c r="AF65" s="115"/>
      <x:c r="AG65" s="115"/>
      <x:c r="AH65" s="115"/>
      <x:c r="AI65" s="115"/>
      <x:c r="AJ65" s="115"/>
      <x:c r="AK65" s="115"/>
      <x:c r="AL65" s="115"/>
    </x:row>
    <x:row r="66">
      <x:c r="B66" s="115"/>
      <x:c r="C66" s="115"/>
      <x:c r="D66" s="115"/>
      <x:c r="E66" s="115"/>
      <x:c r="F66" s="115"/>
      <x:c r="G66" s="115"/>
      <x:c r="H66" s="115"/>
      <x:c r="I66" s="115"/>
      <x:c r="J66" s="115"/>
      <x:c r="K66" s="115"/>
      <x:c r="L66" s="115"/>
      <x:c r="M66" s="115"/>
      <x:c r="N66" s="115"/>
      <x:c r="O66" s="115"/>
      <x:c r="P66" s="115"/>
      <x:c r="Q66" s="115"/>
      <x:c r="R66" s="115"/>
      <x:c r="S66" s="115"/>
      <x:c r="T66" s="115"/>
      <x:c r="U66" s="115"/>
      <x:c r="V66" s="115"/>
      <x:c r="W66" s="115"/>
      <x:c r="X66" s="115"/>
      <x:c r="Y66" s="115"/>
      <x:c r="Z66" s="115"/>
      <x:c r="AA66" s="115"/>
      <x:c r="AB66" s="115"/>
      <x:c r="AC66" s="115"/>
      <x:c r="AD66" s="115"/>
      <x:c r="AE66" s="115"/>
      <x:c r="AF66" s="115"/>
      <x:c r="AG66" s="115"/>
      <x:c r="AH66" s="115"/>
      <x:c r="AI66" s="115"/>
      <x:c r="AJ66" s="115"/>
      <x:c r="AK66" s="115"/>
      <x:c r="AL66" s="115"/>
    </x:row>
    <x:row r="67">
      <x:c r="B67" s="115"/>
      <x:c r="C67" s="115"/>
      <x:c r="D67" s="115"/>
      <x:c r="E67" s="115"/>
      <x:c r="F67" s="115"/>
      <x:c r="G67" s="115"/>
      <x:c r="H67" s="115"/>
      <x:c r="I67" s="115"/>
      <x:c r="J67" s="115"/>
      <x:c r="K67" s="115"/>
      <x:c r="L67" s="115"/>
      <x:c r="M67" s="115"/>
      <x:c r="N67" s="115"/>
      <x:c r="O67" s="115"/>
      <x:c r="P67" s="115"/>
      <x:c r="Q67" s="115"/>
      <x:c r="R67" s="115"/>
      <x:c r="S67" s="115"/>
      <x:c r="T67" s="115"/>
      <x:c r="U67" s="115"/>
      <x:c r="V67" s="115"/>
      <x:c r="W67" s="115"/>
      <x:c r="X67" s="115"/>
      <x:c r="Y67" s="115"/>
      <x:c r="Z67" s="115"/>
      <x:c r="AA67" s="115"/>
      <x:c r="AB67" s="115"/>
      <x:c r="AC67" s="115"/>
      <x:c r="AD67" s="115"/>
      <x:c r="AE67" s="115"/>
      <x:c r="AF67" s="115"/>
      <x:c r="AG67" s="115"/>
      <x:c r="AH67" s="115"/>
      <x:c r="AI67" s="115"/>
      <x:c r="AJ67" s="115"/>
      <x:c r="AK67" s="115"/>
      <x:c r="AL67" s="115"/>
    </x:row>
    <x:row r="68">
      <x:c r="B68" s="115"/>
      <x:c r="C68" s="115"/>
      <x:c r="D68" s="115"/>
      <x:c r="E68" s="115"/>
      <x:c r="F68" s="115"/>
      <x:c r="G68" s="115"/>
      <x:c r="H68" s="115"/>
      <x:c r="I68" s="115"/>
      <x:c r="J68" s="115"/>
      <x:c r="K68" s="115"/>
      <x:c r="L68" s="115"/>
      <x:c r="M68" s="115"/>
      <x:c r="N68" s="115"/>
      <x:c r="O68" s="115"/>
      <x:c r="P68" s="115"/>
      <x:c r="Q68" s="115"/>
      <x:c r="R68" s="115"/>
      <x:c r="S68" s="115"/>
      <x:c r="T68" s="115"/>
      <x:c r="U68" s="115"/>
      <x:c r="V68" s="115"/>
      <x:c r="W68" s="115"/>
      <x:c r="X68" s="115"/>
      <x:c r="Y68" s="115"/>
      <x:c r="Z68" s="115"/>
      <x:c r="AA68" s="115"/>
      <x:c r="AB68" s="115"/>
      <x:c r="AC68" s="115"/>
      <x:c r="AD68" s="115"/>
      <x:c r="AE68" s="115"/>
      <x:c r="AF68" s="115"/>
      <x:c r="AG68" s="115"/>
      <x:c r="AH68" s="115"/>
      <x:c r="AI68" s="115"/>
      <x:c r="AJ68" s="115"/>
      <x:c r="AK68" s="115"/>
      <x:c r="AL68" s="115"/>
    </x:row>
    <x:row r="69">
      <x:c r="B69" s="115"/>
      <x:c r="C69" s="115"/>
      <x:c r="D69" s="115"/>
      <x:c r="E69" s="115"/>
      <x:c r="F69" s="115"/>
      <x:c r="G69" s="115"/>
      <x:c r="H69" s="115"/>
      <x:c r="I69" s="115"/>
      <x:c r="J69" s="115"/>
      <x:c r="K69" s="115"/>
      <x:c r="L69" s="115"/>
      <x:c r="M69" s="115"/>
      <x:c r="N69" s="115"/>
      <x:c r="O69" s="115"/>
      <x:c r="P69" s="115"/>
      <x:c r="Q69" s="115"/>
      <x:c r="R69" s="115"/>
      <x:c r="S69" s="115"/>
      <x:c r="T69" s="115"/>
      <x:c r="U69" s="115"/>
      <x:c r="V69" s="115"/>
      <x:c r="W69" s="115"/>
      <x:c r="X69" s="115"/>
      <x:c r="Y69" s="115"/>
      <x:c r="Z69" s="115"/>
      <x:c r="AA69" s="115"/>
      <x:c r="AB69" s="115"/>
      <x:c r="AC69" s="115"/>
      <x:c r="AD69" s="115"/>
      <x:c r="AE69" s="115"/>
      <x:c r="AF69" s="115"/>
      <x:c r="AG69" s="115"/>
      <x:c r="AH69" s="115"/>
      <x:c r="AI69" s="115"/>
      <x:c r="AJ69" s="115"/>
      <x:c r="AK69" s="115"/>
      <x:c r="AL69" s="115"/>
    </x:row>
    <x:row r="70">
      <x:c r="B70" s="115"/>
      <x:c r="C70" s="115"/>
      <x:c r="D70" s="115"/>
      <x:c r="E70" s="115"/>
      <x:c r="F70" s="115"/>
      <x:c r="G70" s="115"/>
      <x:c r="H70" s="115"/>
      <x:c r="I70" s="115"/>
      <x:c r="J70" s="115"/>
      <x:c r="K70" s="115"/>
      <x:c r="L70" s="115"/>
      <x:c r="M70" s="115"/>
      <x:c r="N70" s="115"/>
      <x:c r="O70" s="115"/>
      <x:c r="P70" s="115"/>
      <x:c r="Q70" s="115"/>
      <x:c r="R70" s="115"/>
      <x:c r="S70" s="115"/>
      <x:c r="T70" s="115"/>
      <x:c r="U70" s="115"/>
      <x:c r="V70" s="115"/>
      <x:c r="W70" s="115"/>
      <x:c r="X70" s="115"/>
      <x:c r="Y70" s="115"/>
      <x:c r="Z70" s="115"/>
      <x:c r="AA70" s="115"/>
      <x:c r="AB70" s="115"/>
      <x:c r="AC70" s="115"/>
      <x:c r="AD70" s="115"/>
      <x:c r="AE70" s="115"/>
      <x:c r="AF70" s="115"/>
      <x:c r="AG70" s="115"/>
      <x:c r="AH70" s="115"/>
      <x:c r="AI70" s="115"/>
      <x:c r="AJ70" s="115"/>
      <x:c r="AK70" s="115"/>
      <x:c r="AL70" s="115"/>
    </x:row>
    <x:row r="71">
      <x:c r="B71" s="115"/>
      <x:c r="C71" s="115"/>
      <x:c r="D71" s="115"/>
      <x:c r="E71" s="115"/>
      <x:c r="F71" s="115"/>
      <x:c r="G71" s="115"/>
      <x:c r="H71" s="115"/>
      <x:c r="I71" s="115"/>
      <x:c r="J71" s="115"/>
      <x:c r="K71" s="115"/>
      <x:c r="L71" s="115"/>
      <x:c r="M71" s="115"/>
      <x:c r="N71" s="115"/>
      <x:c r="O71" s="115"/>
      <x:c r="P71" s="115"/>
      <x:c r="Q71" s="115"/>
      <x:c r="R71" s="115"/>
      <x:c r="S71" s="115"/>
      <x:c r="T71" s="115"/>
      <x:c r="U71" s="115"/>
      <x:c r="V71" s="115"/>
      <x:c r="W71" s="115"/>
      <x:c r="X71" s="115"/>
      <x:c r="Y71" s="115"/>
      <x:c r="Z71" s="115"/>
      <x:c r="AA71" s="115"/>
      <x:c r="AB71" s="115"/>
      <x:c r="AC71" s="115"/>
      <x:c r="AD71" s="115"/>
      <x:c r="AE71" s="115"/>
      <x:c r="AF71" s="115"/>
      <x:c r="AG71" s="115"/>
      <x:c r="AH71" s="115"/>
      <x:c r="AI71" s="115"/>
      <x:c r="AJ71" s="115"/>
      <x:c r="AK71" s="115"/>
      <x:c r="AL71" s="115"/>
    </x:row>
    <x:row r="72">
      <x:c r="B72" s="115"/>
      <x:c r="C72" s="115"/>
      <x:c r="D72" s="115"/>
      <x:c r="E72" s="115"/>
      <x:c r="F72" s="115"/>
      <x:c r="G72" s="115"/>
      <x:c r="H72" s="115"/>
      <x:c r="I72" s="115"/>
      <x:c r="J72" s="115"/>
      <x:c r="K72" s="115"/>
      <x:c r="L72" s="115"/>
      <x:c r="M72" s="115"/>
      <x:c r="N72" s="115"/>
      <x:c r="O72" s="115"/>
      <x:c r="P72" s="115"/>
      <x:c r="Q72" s="115"/>
      <x:c r="R72" s="115"/>
      <x:c r="S72" s="115"/>
      <x:c r="T72" s="115"/>
      <x:c r="U72" s="115"/>
      <x:c r="V72" s="115"/>
      <x:c r="W72" s="115"/>
      <x:c r="X72" s="115"/>
      <x:c r="Y72" s="115"/>
      <x:c r="Z72" s="115"/>
      <x:c r="AA72" s="115"/>
      <x:c r="AB72" s="115"/>
      <x:c r="AC72" s="115"/>
      <x:c r="AD72" s="115"/>
      <x:c r="AE72" s="115"/>
      <x:c r="AF72" s="115"/>
      <x:c r="AG72" s="115"/>
      <x:c r="AH72" s="115"/>
      <x:c r="AI72" s="115"/>
      <x:c r="AJ72" s="115"/>
      <x:c r="AK72" s="115"/>
      <x:c r="AL72" s="115"/>
    </x:row>
    <x:row r="73">
      <x:c r="B73" s="115"/>
      <x:c r="C73" s="115"/>
      <x:c r="D73" s="115"/>
      <x:c r="E73" s="115"/>
      <x:c r="F73" s="115"/>
      <x:c r="G73" s="115"/>
      <x:c r="H73" s="115"/>
      <x:c r="I73" s="115"/>
      <x:c r="J73" s="115"/>
      <x:c r="K73" s="115"/>
      <x:c r="L73" s="115"/>
      <x:c r="M73" s="115"/>
      <x:c r="N73" s="115"/>
      <x:c r="O73" s="115"/>
      <x:c r="P73" s="115"/>
      <x:c r="Q73" s="115"/>
      <x:c r="R73" s="115"/>
      <x:c r="S73" s="115"/>
      <x:c r="T73" s="115"/>
      <x:c r="U73" s="115"/>
      <x:c r="V73" s="115"/>
      <x:c r="W73" s="115"/>
      <x:c r="X73" s="115"/>
      <x:c r="Y73" s="115"/>
      <x:c r="Z73" s="115"/>
      <x:c r="AA73" s="115"/>
      <x:c r="AB73" s="115"/>
      <x:c r="AC73" s="115"/>
      <x:c r="AD73" s="115"/>
      <x:c r="AE73" s="115"/>
      <x:c r="AF73" s="115"/>
      <x:c r="AG73" s="115"/>
      <x:c r="AH73" s="115"/>
      <x:c r="AI73" s="115"/>
      <x:c r="AJ73" s="115"/>
      <x:c r="AK73" s="115"/>
      <x:c r="AL73" s="115"/>
    </x:row>
    <x:row r="74">
      <x:c r="B74" s="115"/>
      <x:c r="C74" s="115"/>
      <x:c r="D74" s="115"/>
      <x:c r="E74" s="115"/>
      <x:c r="F74" s="115"/>
      <x:c r="G74" s="115"/>
      <x:c r="H74" s="115"/>
      <x:c r="I74" s="115"/>
      <x:c r="J74" s="115"/>
      <x:c r="K74" s="115"/>
      <x:c r="L74" s="115"/>
      <x:c r="M74" s="115"/>
      <x:c r="N74" s="115"/>
      <x:c r="O74" s="115"/>
      <x:c r="P74" s="115"/>
      <x:c r="Q74" s="115"/>
      <x:c r="R74" s="115"/>
      <x:c r="S74" s="115"/>
      <x:c r="T74" s="115"/>
      <x:c r="U74" s="115"/>
      <x:c r="V74" s="115"/>
      <x:c r="W74" s="115"/>
      <x:c r="X74" s="115"/>
      <x:c r="Y74" s="115"/>
      <x:c r="Z74" s="115"/>
      <x:c r="AA74" s="115"/>
      <x:c r="AB74" s="115"/>
      <x:c r="AC74" s="115"/>
      <x:c r="AD74" s="115"/>
      <x:c r="AE74" s="115"/>
      <x:c r="AF74" s="115"/>
      <x:c r="AG74" s="115"/>
      <x:c r="AH74" s="115"/>
      <x:c r="AI74" s="115"/>
      <x:c r="AJ74" s="115"/>
      <x:c r="AK74" s="115"/>
      <x:c r="AL74" s="115"/>
    </x:row>
    <x:row r="75">
      <x:c r="B75" s="115"/>
      <x:c r="C75" s="115"/>
      <x:c r="D75" s="115"/>
      <x:c r="E75" s="115"/>
      <x:c r="F75" s="115"/>
      <x:c r="G75" s="115"/>
      <x:c r="H75" s="115"/>
      <x:c r="I75" s="115"/>
      <x:c r="J75" s="115"/>
      <x:c r="K75" s="115"/>
      <x:c r="L75" s="115"/>
      <x:c r="M75" s="115"/>
      <x:c r="N75" s="115"/>
      <x:c r="O75" s="115"/>
      <x:c r="P75" s="115"/>
      <x:c r="Q75" s="115"/>
      <x:c r="R75" s="115"/>
      <x:c r="S75" s="115"/>
      <x:c r="T75" s="115"/>
      <x:c r="U75" s="115"/>
      <x:c r="V75" s="115"/>
      <x:c r="W75" s="115"/>
      <x:c r="X75" s="115"/>
      <x:c r="Y75" s="115"/>
      <x:c r="Z75" s="115"/>
      <x:c r="AA75" s="115"/>
      <x:c r="AB75" s="115"/>
      <x:c r="AC75" s="115"/>
      <x:c r="AD75" s="115"/>
      <x:c r="AE75" s="115"/>
      <x:c r="AF75" s="115"/>
      <x:c r="AG75" s="115"/>
      <x:c r="AH75" s="115"/>
      <x:c r="AI75" s="115"/>
      <x:c r="AJ75" s="115"/>
      <x:c r="AK75" s="115"/>
      <x:c r="AL75" s="115"/>
    </x:row>
    <x:row r="76">
      <x:c r="B76" s="115"/>
      <x:c r="C76" s="115"/>
      <x:c r="D76" s="115"/>
      <x:c r="E76" s="115"/>
      <x:c r="F76" s="115"/>
      <x:c r="G76" s="115"/>
      <x:c r="H76" s="115"/>
      <x:c r="I76" s="115"/>
      <x:c r="J76" s="115"/>
      <x:c r="K76" s="115"/>
      <x:c r="L76" s="115"/>
      <x:c r="M76" s="115"/>
      <x:c r="N76" s="115"/>
      <x:c r="O76" s="115"/>
      <x:c r="P76" s="115"/>
      <x:c r="Q76" s="115"/>
      <x:c r="R76" s="115"/>
      <x:c r="S76" s="115"/>
      <x:c r="T76" s="115"/>
      <x:c r="U76" s="115"/>
      <x:c r="V76" s="115"/>
      <x:c r="W76" s="115"/>
      <x:c r="X76" s="115"/>
      <x:c r="Y76" s="115"/>
      <x:c r="Z76" s="115"/>
      <x:c r="AA76" s="115"/>
      <x:c r="AB76" s="115"/>
      <x:c r="AC76" s="115"/>
      <x:c r="AD76" s="115"/>
      <x:c r="AE76" s="115"/>
      <x:c r="AF76" s="115"/>
      <x:c r="AG76" s="115"/>
      <x:c r="AH76" s="115"/>
      <x:c r="AI76" s="115"/>
      <x:c r="AJ76" s="115"/>
      <x:c r="AK76" s="115"/>
      <x:c r="AL76" s="115"/>
    </x:row>
    <x:row r="77">
      <x:c r="B77" s="115"/>
      <x:c r="C77" s="115"/>
      <x:c r="D77" s="115"/>
      <x:c r="E77" s="115"/>
      <x:c r="F77" s="115"/>
      <x:c r="G77" s="115"/>
      <x:c r="H77" s="115"/>
      <x:c r="I77" s="115"/>
      <x:c r="J77" s="115"/>
      <x:c r="K77" s="115"/>
      <x:c r="L77" s="115"/>
      <x:c r="M77" s="115"/>
      <x:c r="N77" s="115"/>
      <x:c r="O77" s="115"/>
      <x:c r="P77" s="115"/>
      <x:c r="Q77" s="115"/>
      <x:c r="R77" s="115"/>
      <x:c r="S77" s="115"/>
      <x:c r="T77" s="115"/>
      <x:c r="U77" s="115"/>
      <x:c r="V77" s="115"/>
      <x:c r="W77" s="115"/>
      <x:c r="X77" s="115"/>
      <x:c r="Y77" s="115"/>
      <x:c r="Z77" s="115"/>
      <x:c r="AA77" s="115"/>
      <x:c r="AB77" s="115"/>
      <x:c r="AC77" s="115"/>
      <x:c r="AD77" s="115"/>
      <x:c r="AE77" s="115"/>
      <x:c r="AF77" s="115"/>
      <x:c r="AG77" s="115"/>
      <x:c r="AH77" s="115"/>
      <x:c r="AI77" s="115"/>
      <x:c r="AJ77" s="115"/>
      <x:c r="AK77" s="115"/>
      <x:c r="AL77" s="115"/>
    </x:row>
    <x:row r="78">
      <x:c r="B78" s="115"/>
      <x:c r="C78" s="115"/>
      <x:c r="D78" s="115"/>
      <x:c r="E78" s="115"/>
      <x:c r="F78" s="115"/>
      <x:c r="G78" s="115"/>
      <x:c r="H78" s="115"/>
      <x:c r="I78" s="115"/>
      <x:c r="J78" s="115"/>
      <x:c r="K78" s="115"/>
      <x:c r="L78" s="115"/>
      <x:c r="M78" s="115"/>
      <x:c r="N78" s="115"/>
      <x:c r="O78" s="115"/>
      <x:c r="P78" s="115"/>
      <x:c r="Q78" s="115"/>
      <x:c r="R78" s="115"/>
      <x:c r="S78" s="115"/>
      <x:c r="T78" s="115"/>
      <x:c r="U78" s="115"/>
      <x:c r="V78" s="115"/>
      <x:c r="W78" s="115"/>
      <x:c r="X78" s="115"/>
      <x:c r="Y78" s="115"/>
      <x:c r="Z78" s="115"/>
      <x:c r="AA78" s="115"/>
      <x:c r="AB78" s="115"/>
      <x:c r="AC78" s="115"/>
      <x:c r="AD78" s="115"/>
      <x:c r="AE78" s="115"/>
      <x:c r="AF78" s="115"/>
      <x:c r="AG78" s="115"/>
      <x:c r="AH78" s="115"/>
      <x:c r="AI78" s="115"/>
      <x:c r="AJ78" s="115"/>
      <x:c r="AK78" s="115"/>
      <x:c r="AL78" s="115"/>
    </x:row>
    <x:row r="79">
      <x:c r="B79" s="115"/>
      <x:c r="C79" s="115"/>
      <x:c r="D79" s="115"/>
      <x:c r="E79" s="115"/>
      <x:c r="F79" s="115"/>
      <x:c r="G79" s="115"/>
      <x:c r="H79" s="115"/>
      <x:c r="I79" s="115"/>
      <x:c r="J79" s="115"/>
      <x:c r="K79" s="115"/>
      <x:c r="L79" s="115"/>
      <x:c r="M79" s="115"/>
      <x:c r="N79" s="115"/>
      <x:c r="O79" s="115"/>
      <x:c r="P79" s="115"/>
      <x:c r="Q79" s="115"/>
      <x:c r="R79" s="115"/>
      <x:c r="S79" s="115"/>
      <x:c r="T79" s="115"/>
      <x:c r="U79" s="115"/>
      <x:c r="V79" s="115"/>
      <x:c r="W79" s="115"/>
      <x:c r="X79" s="115"/>
      <x:c r="Y79" s="115"/>
      <x:c r="Z79" s="115"/>
      <x:c r="AA79" s="115"/>
      <x:c r="AB79" s="115"/>
      <x:c r="AC79" s="115"/>
      <x:c r="AD79" s="115"/>
      <x:c r="AE79" s="115"/>
      <x:c r="AF79" s="115"/>
      <x:c r="AG79" s="115"/>
      <x:c r="AH79" s="115"/>
      <x:c r="AI79" s="115"/>
      <x:c r="AJ79" s="115"/>
      <x:c r="AK79" s="115"/>
      <x:c r="AL79" s="115"/>
    </x:row>
    <x:row r="80">
      <x:c r="B80" s="115"/>
      <x:c r="C80" s="115"/>
      <x:c r="D80" s="115"/>
      <x:c r="E80" s="115"/>
      <x:c r="F80" s="115"/>
      <x:c r="G80" s="115"/>
      <x:c r="H80" s="115"/>
      <x:c r="I80" s="115"/>
      <x:c r="J80" s="115"/>
      <x:c r="K80" s="115"/>
      <x:c r="L80" s="115"/>
      <x:c r="M80" s="115"/>
      <x:c r="N80" s="115"/>
      <x:c r="O80" s="115"/>
      <x:c r="P80" s="115"/>
      <x:c r="Q80" s="115"/>
      <x:c r="R80" s="115"/>
      <x:c r="S80" s="115"/>
      <x:c r="T80" s="115"/>
      <x:c r="U80" s="115"/>
      <x:c r="V80" s="115"/>
      <x:c r="W80" s="115"/>
      <x:c r="X80" s="115"/>
      <x:c r="Y80" s="115"/>
      <x:c r="Z80" s="115"/>
      <x:c r="AA80" s="115"/>
      <x:c r="AB80" s="115"/>
      <x:c r="AC80" s="115"/>
      <x:c r="AD80" s="115"/>
      <x:c r="AE80" s="115"/>
      <x:c r="AF80" s="115"/>
      <x:c r="AG80" s="115"/>
      <x:c r="AH80" s="115"/>
      <x:c r="AI80" s="115"/>
      <x:c r="AJ80" s="115"/>
      <x:c r="AK80" s="115"/>
      <x:c r="AL80" s="115"/>
    </x:row>
  </x:sheetData>
  <x:mergeCells>
    <x:mergeCell ref="B2:H2"/>
    <x:mergeCell ref="B3:H5"/>
    <x:mergeCell ref="B30:H33"/>
    <x:mergeCell ref="B35:H38"/>
    <x:mergeCell ref="B47:H50"/>
  </x:mergeCells>
  <x:dataValidations count="3">
    <x:dataValidation type="whole" operator="between" sqref="C8">
      <x:formula1>1</x:formula1>
      <x:formula2>3</x:formula2>
    </x:dataValidation>
    <x:dataValidation type="whole" operator="between" sqref="C19">
      <x:formula1>1</x:formula1>
      <x:formula2>2</x:formula2>
    </x:dataValidation>
    <x:dataValidation type="whole" operator="between" sqref="C17:C18">
      <x:formula1>0</x:formula1>
      <x:formula2>36</x:formula2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2" max="2" width="40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  <x:col min="28" max="28" width="15" hidden="0" customWidth="1"/>
    <x:col min="29" max="29" width="15" hidden="0" customWidth="1"/>
    <x:col min="30" max="30" width="15" hidden="0" customWidth="1"/>
    <x:col min="31" max="31" width="15" hidden="0" customWidth="1"/>
    <x:col min="32" max="32" width="15" hidden="0" customWidth="1"/>
    <x:col min="33" max="33" width="15" hidden="0" customWidth="1"/>
    <x:col min="34" max="34" width="15" hidden="0" customWidth="1"/>
    <x:col min="35" max="35" width="15" hidden="0" customWidth="1"/>
    <x:col min="36" max="36" width="15" hidden="0" customWidth="1"/>
    <x:col min="37" max="37" width="15" hidden="0" customWidth="1"/>
    <x:col min="38" max="38" width="15" hidden="0" customWidth="1"/>
  </x:cols>
  <x:sheetData>
    <x:row r="1">
      <x:c r="B1" s="115"/>
      <x:c r="C1" s="115"/>
      <x:c r="D1" s="115"/>
      <x:c r="E1" s="115"/>
      <x:c r="F1" s="115"/>
      <x:c r="G1" s="115"/>
      <x:c r="H1" s="115"/>
      <x:c r="I1" s="115"/>
      <x:c r="J1" s="115"/>
      <x:c r="K1" s="115"/>
      <x:c r="L1" s="115"/>
      <x:c r="M1" s="115"/>
      <x:c r="N1" s="115"/>
      <x:c r="O1" s="115"/>
      <x:c r="P1" s="115"/>
      <x:c r="Q1" s="115"/>
      <x:c r="R1" s="115"/>
      <x:c r="S1" s="115"/>
      <x:c r="T1" s="115"/>
      <x:c r="U1" s="115"/>
      <x:c r="V1" s="115"/>
      <x:c r="W1" s="115"/>
      <x:c r="X1" s="115"/>
      <x:c r="Y1" s="115"/>
      <x:c r="Z1" s="115"/>
      <x:c r="AA1" s="115"/>
      <x:c r="AB1" s="115"/>
      <x:c r="AC1" s="115"/>
      <x:c r="AD1" s="115"/>
      <x:c r="AE1" s="115"/>
      <x:c r="AF1" s="115"/>
      <x:c r="AG1" s="115"/>
      <x:c r="AH1" s="115"/>
      <x:c r="AI1" s="115"/>
      <x:c r="AJ1" s="115"/>
      <x:c r="AK1" s="115"/>
      <x:c r="AL1" s="115"/>
    </x:row>
    <x:row r="2" ht="30" customHeight="1">
      <x:c r="B2" s="149" t="str">
        <x:v>Monthly commercial build</x:v>
      </x:c>
      <x:c r="C2" s="149"/>
      <x:c r="D2" s="149"/>
      <x:c r="E2" s="149"/>
      <x:c r="F2" s="149"/>
      <x:c r="G2" s="149"/>
      <x:c r="H2" s="149"/>
      <x:c r="I2" s="115"/>
      <x:c r="J2" s="115"/>
      <x:c r="K2" s="115"/>
      <x:c r="L2" s="115"/>
      <x:c r="M2" s="115"/>
      <x:c r="N2" s="115"/>
      <x:c r="O2" s="115"/>
      <x:c r="P2" s="115"/>
      <x:c r="Q2" s="115"/>
      <x:c r="R2" s="115"/>
      <x:c r="S2" s="115"/>
      <x:c r="T2" s="115"/>
      <x:c r="U2" s="115"/>
      <x:c r="V2" s="115"/>
      <x:c r="W2" s="115"/>
      <x:c r="X2" s="115"/>
      <x:c r="Y2" s="115"/>
      <x:c r="Z2" s="115"/>
      <x:c r="AA2" s="115"/>
      <x:c r="AB2" s="115"/>
      <x:c r="AC2" s="115"/>
      <x:c r="AD2" s="115"/>
      <x:c r="AE2" s="115"/>
      <x:c r="AF2" s="115"/>
      <x:c r="AG2" s="115"/>
      <x:c r="AH2" s="115"/>
      <x:c r="AI2" s="115"/>
      <x:c r="AJ2" s="115"/>
      <x:c r="AK2" s="115"/>
      <x:c r="AL2" s="115"/>
    </x:row>
    <x:row r="3" ht="22" customHeight="1">
      <x:c r="B3" s="152" t="str">
        <x:v>Proposed customer cohorts, not signed clients. Institutions activate in months 7 and 10 in the base case. Standalone SaaS is a separate account set. Cash collections follow the selected lag and loss allowance.</x:v>
      </x:c>
      <x:c r="C3" s="152"/>
      <x:c r="D3" s="152"/>
      <x:c r="E3" s="152"/>
      <x:c r="F3" s="152"/>
      <x:c r="G3" s="152"/>
      <x:c r="H3" s="152"/>
      <x:c r="I3" s="115"/>
      <x:c r="J3" s="115"/>
      <x:c r="K3" s="115"/>
      <x:c r="L3" s="115"/>
      <x:c r="M3" s="115"/>
      <x:c r="N3" s="115"/>
      <x:c r="O3" s="115"/>
      <x:c r="P3" s="115"/>
      <x:c r="Q3" s="115"/>
      <x:c r="R3" s="115"/>
      <x:c r="S3" s="115"/>
      <x:c r="T3" s="115"/>
      <x:c r="U3" s="115"/>
      <x:c r="V3" s="115"/>
      <x:c r="W3" s="115"/>
      <x:c r="X3" s="115"/>
      <x:c r="Y3" s="115"/>
      <x:c r="Z3" s="115"/>
      <x:c r="AA3" s="115"/>
      <x:c r="AB3" s="115"/>
      <x:c r="AC3" s="115"/>
      <x:c r="AD3" s="115"/>
      <x:c r="AE3" s="115"/>
      <x:c r="AF3" s="115"/>
      <x:c r="AG3" s="115"/>
      <x:c r="AH3" s="115"/>
      <x:c r="AI3" s="115"/>
      <x:c r="AJ3" s="115"/>
      <x:c r="AK3" s="115"/>
      <x:c r="AL3" s="115"/>
    </x:row>
    <x:row r="4" ht="22" customHeight="1">
      <x:c r="B4" s="152"/>
      <x:c r="C4" s="152"/>
      <x:c r="D4" s="152"/>
      <x:c r="E4" s="152"/>
      <x:c r="F4" s="152"/>
      <x:c r="G4" s="152"/>
      <x:c r="H4" s="152"/>
      <x:c r="I4" s="115"/>
      <x:c r="J4" s="115"/>
      <x:c r="K4" s="115"/>
      <x:c r="L4" s="115"/>
      <x:c r="M4" s="115"/>
      <x:c r="N4" s="115"/>
      <x:c r="O4" s="115"/>
      <x:c r="P4" s="115"/>
      <x:c r="Q4" s="115"/>
      <x:c r="R4" s="115"/>
      <x:c r="S4" s="115"/>
      <x:c r="T4" s="115"/>
      <x:c r="U4" s="115"/>
      <x:c r="V4" s="115"/>
      <x:c r="W4" s="115"/>
      <x:c r="X4" s="115"/>
      <x:c r="Y4" s="115"/>
      <x:c r="Z4" s="115"/>
      <x:c r="AA4" s="115"/>
      <x:c r="AB4" s="115"/>
      <x:c r="AC4" s="115"/>
      <x:c r="AD4" s="115"/>
      <x:c r="AE4" s="115"/>
      <x:c r="AF4" s="115"/>
      <x:c r="AG4" s="115"/>
      <x:c r="AH4" s="115"/>
      <x:c r="AI4" s="115"/>
      <x:c r="AJ4" s="115"/>
      <x:c r="AK4" s="115"/>
      <x:c r="AL4" s="115"/>
    </x:row>
    <x:row r="5" ht="22" customHeight="1">
      <x:c r="B5" s="152"/>
      <x:c r="C5" s="152"/>
      <x:c r="D5" s="152"/>
      <x:c r="E5" s="152"/>
      <x:c r="F5" s="152"/>
      <x:c r="G5" s="152"/>
      <x:c r="H5" s="152"/>
      <x:c r="I5" s="115"/>
      <x:c r="J5" s="115"/>
      <x:c r="K5" s="115"/>
      <x:c r="L5" s="115"/>
      <x:c r="M5" s="115"/>
      <x:c r="N5" s="115"/>
      <x:c r="O5" s="115"/>
      <x:c r="P5" s="115"/>
      <x:c r="Q5" s="115"/>
      <x:c r="R5" s="115"/>
      <x:c r="S5" s="115"/>
      <x:c r="T5" s="115"/>
      <x:c r="U5" s="115"/>
      <x:c r="V5" s="115"/>
      <x:c r="W5" s="115"/>
      <x:c r="X5" s="115"/>
      <x:c r="Y5" s="115"/>
      <x:c r="Z5" s="115"/>
      <x:c r="AA5" s="115"/>
      <x:c r="AB5" s="115"/>
      <x:c r="AC5" s="115"/>
      <x:c r="AD5" s="115"/>
      <x:c r="AE5" s="115"/>
      <x:c r="AF5" s="115"/>
      <x:c r="AG5" s="115"/>
      <x:c r="AH5" s="115"/>
      <x:c r="AI5" s="115"/>
      <x:c r="AJ5" s="115"/>
      <x:c r="AK5" s="115"/>
      <x:c r="AL5" s="115"/>
    </x:row>
    <x:row r="6">
      <x:c r="B6" s="115"/>
      <x:c r="C6" s="115"/>
      <x:c r="D6" s="115"/>
      <x:c r="E6" s="115"/>
      <x:c r="F6" s="115"/>
      <x:c r="G6" s="115"/>
      <x:c r="H6" s="115"/>
      <x:c r="I6" s="115"/>
      <x:c r="J6" s="115"/>
      <x:c r="K6" s="115"/>
      <x:c r="L6" s="115"/>
      <x:c r="M6" s="115"/>
      <x:c r="N6" s="115"/>
      <x:c r="O6" s="115"/>
      <x:c r="P6" s="115"/>
      <x:c r="Q6" s="115"/>
      <x:c r="R6" s="115"/>
      <x:c r="S6" s="115"/>
      <x:c r="T6" s="115"/>
      <x:c r="U6" s="115"/>
      <x:c r="V6" s="115"/>
      <x:c r="W6" s="115"/>
      <x:c r="X6" s="115"/>
      <x:c r="Y6" s="115"/>
      <x:c r="Z6" s="115"/>
      <x:c r="AA6" s="115"/>
      <x:c r="AB6" s="115"/>
      <x:c r="AC6" s="115"/>
      <x:c r="AD6" s="115"/>
      <x:c r="AE6" s="115"/>
      <x:c r="AF6" s="115"/>
      <x:c r="AG6" s="115"/>
      <x:c r="AH6" s="115"/>
      <x:c r="AI6" s="115"/>
      <x:c r="AJ6" s="115"/>
      <x:c r="AK6" s="115"/>
      <x:c r="AL6" s="115"/>
    </x:row>
    <x:row r="7">
      <x:c r="B7" s="116"/>
      <x:c r="C7" s="199" t="n">
        <x:f>'Monthly Burn'!C7</x:f>
        <x:v>46266</x:v>
      </x:c>
      <x:c r="D7" s="199" t="n">
        <x:f>'Monthly Burn'!D7</x:f>
        <x:v>46296</x:v>
      </x:c>
      <x:c r="E7" s="199" t="n">
        <x:f>'Monthly Burn'!E7</x:f>
        <x:v>46327</x:v>
      </x:c>
      <x:c r="F7" s="199" t="n">
        <x:f>'Monthly Burn'!F7</x:f>
        <x:v>46357</x:v>
      </x:c>
      <x:c r="G7" s="199" t="n">
        <x:f>'Monthly Burn'!G7</x:f>
        <x:v>46388</x:v>
      </x:c>
      <x:c r="H7" s="199" t="n">
        <x:f>'Monthly Burn'!H7</x:f>
        <x:v>46419</x:v>
      </x:c>
      <x:c r="I7" s="199" t="n">
        <x:f>'Monthly Burn'!I7</x:f>
        <x:v>46447</x:v>
      </x:c>
      <x:c r="J7" s="199" t="n">
        <x:f>'Monthly Burn'!J7</x:f>
        <x:v>46478</x:v>
      </x:c>
      <x:c r="K7" s="199" t="n">
        <x:f>'Monthly Burn'!K7</x:f>
        <x:v>46508</x:v>
      </x:c>
      <x:c r="L7" s="199" t="n">
        <x:f>'Monthly Burn'!L7</x:f>
        <x:v>46539</x:v>
      </x:c>
      <x:c r="M7" s="199" t="n">
        <x:f>'Monthly Burn'!M7</x:f>
        <x:v>46569</x:v>
      </x:c>
      <x:c r="N7" s="199" t="n">
        <x:f>'Monthly Burn'!N7</x:f>
        <x:v>46600</x:v>
      </x:c>
      <x:c r="O7" s="199" t="n">
        <x:f>'Monthly Burn'!O7</x:f>
        <x:v>46631</x:v>
      </x:c>
      <x:c r="P7" s="199" t="n">
        <x:f>'Monthly Burn'!P7</x:f>
        <x:v>46661</x:v>
      </x:c>
      <x:c r="Q7" s="199" t="n">
        <x:f>'Monthly Burn'!Q7</x:f>
        <x:v>46692</x:v>
      </x:c>
      <x:c r="R7" s="199" t="n">
        <x:f>'Monthly Burn'!R7</x:f>
        <x:v>46722</x:v>
      </x:c>
      <x:c r="S7" s="199" t="n">
        <x:f>'Monthly Burn'!S7</x:f>
        <x:v>46753</x:v>
      </x:c>
      <x:c r="T7" s="199" t="n">
        <x:f>'Monthly Burn'!T7</x:f>
        <x:v>46784</x:v>
      </x:c>
      <x:c r="U7" s="199" t="n">
        <x:f>'Monthly Burn'!U7</x:f>
        <x:v>46813</x:v>
      </x:c>
      <x:c r="V7" s="199" t="n">
        <x:f>'Monthly Burn'!V7</x:f>
        <x:v>46844</x:v>
      </x:c>
      <x:c r="W7" s="199" t="n">
        <x:f>'Monthly Burn'!W7</x:f>
        <x:v>46874</x:v>
      </x:c>
      <x:c r="X7" s="199" t="n">
        <x:f>'Monthly Burn'!X7</x:f>
        <x:v>46905</x:v>
      </x:c>
      <x:c r="Y7" s="199" t="n">
        <x:f>'Monthly Burn'!Y7</x:f>
        <x:v>46935</x:v>
      </x:c>
      <x:c r="Z7" s="199" t="n">
        <x:f>'Monthly Burn'!Z7</x:f>
        <x:v>46966</x:v>
      </x:c>
      <x:c r="AA7" s="199" t="n">
        <x:f>'Monthly Burn'!AA7</x:f>
        <x:v>46997</x:v>
      </x:c>
      <x:c r="AB7" s="199" t="n">
        <x:f>'Monthly Burn'!AB7</x:f>
        <x:v>47027</x:v>
      </x:c>
      <x:c r="AC7" s="199" t="n">
        <x:f>'Monthly Burn'!AC7</x:f>
        <x:v>47058</x:v>
      </x:c>
      <x:c r="AD7" s="199" t="n">
        <x:f>'Monthly Burn'!AD7</x:f>
        <x:v>47088</x:v>
      </x:c>
      <x:c r="AE7" s="199" t="n">
        <x:f>'Monthly Burn'!AE7</x:f>
        <x:v>47119</x:v>
      </x:c>
      <x:c r="AF7" s="199" t="n">
        <x:f>'Monthly Burn'!AF7</x:f>
        <x:v>47150</x:v>
      </x:c>
      <x:c r="AG7" s="199" t="n">
        <x:f>'Monthly Burn'!AG7</x:f>
        <x:v>47178</x:v>
      </x:c>
      <x:c r="AH7" s="199" t="n">
        <x:f>'Monthly Burn'!AH7</x:f>
        <x:v>47209</x:v>
      </x:c>
      <x:c r="AI7" s="199" t="n">
        <x:f>'Monthly Burn'!AI7</x:f>
        <x:v>47239</x:v>
      </x:c>
      <x:c r="AJ7" s="199" t="n">
        <x:f>'Monthly Burn'!AJ7</x:f>
        <x:v>47270</x:v>
      </x:c>
      <x:c r="AK7" s="199" t="n">
        <x:f>'Monthly Burn'!AK7</x:f>
        <x:v>47300</x:v>
      </x:c>
      <x:c r="AL7" s="199" t="n">
        <x:f>'Monthly Burn'!AL7</x:f>
        <x:v>47331</x:v>
      </x:c>
    </x:row>
    <x:row r="8" ht="32" customHeight="1">
      <x:c r="B8" s="116" t="str">
        <x:v>New institutions</x:v>
      </x:c>
      <x:c r="C8" s="201" t="n">
        <x:f>ROUNDDOWN(IF(1&lt;='Scenario Inputs'!$C$9,0,INDEX('Scenario Inputs'!$C$41:$AL$41,1,MAX(1,1-'Scenario Inputs'!$C$9)))*'Scenario Inputs'!$C$15,0)</x:f>
        <x:v>0</x:v>
      </x:c>
      <x:c r="D8" s="201" t="n">
        <x:f>ROUNDDOWN(IF(2&lt;='Scenario Inputs'!$C$9,0,INDEX('Scenario Inputs'!$C$41:$AL$41,1,MAX(1,2-'Scenario Inputs'!$C$9)))*'Scenario Inputs'!$C$15,0)</x:f>
        <x:v>0</x:v>
      </x:c>
      <x:c r="E8" s="201" t="n">
        <x:f>ROUNDDOWN(IF(3&lt;='Scenario Inputs'!$C$9,0,INDEX('Scenario Inputs'!$C$41:$AL$41,1,MAX(1,3-'Scenario Inputs'!$C$9)))*'Scenario Inputs'!$C$15,0)</x:f>
        <x:v>0</x:v>
      </x:c>
      <x:c r="F8" s="201" t="n">
        <x:f>ROUNDDOWN(IF(4&lt;='Scenario Inputs'!$C$9,0,INDEX('Scenario Inputs'!$C$41:$AL$41,1,MAX(1,4-'Scenario Inputs'!$C$9)))*'Scenario Inputs'!$C$15,0)</x:f>
        <x:v>0</x:v>
      </x:c>
      <x:c r="G8" s="201" t="n">
        <x:f>ROUNDDOWN(IF(5&lt;='Scenario Inputs'!$C$9,0,INDEX('Scenario Inputs'!$C$41:$AL$41,1,MAX(1,5-'Scenario Inputs'!$C$9)))*'Scenario Inputs'!$C$15,0)</x:f>
        <x:v>0</x:v>
      </x:c>
      <x:c r="H8" s="201" t="n">
        <x:f>ROUNDDOWN(IF(6&lt;='Scenario Inputs'!$C$9,0,INDEX('Scenario Inputs'!$C$41:$AL$41,1,MAX(1,6-'Scenario Inputs'!$C$9)))*'Scenario Inputs'!$C$15,0)</x:f>
        <x:v>0</x:v>
      </x:c>
      <x:c r="I8" s="201" t="n">
        <x:f>ROUNDDOWN(IF(7&lt;='Scenario Inputs'!$C$9,0,INDEX('Scenario Inputs'!$C$41:$AL$41,1,MAX(1,7-'Scenario Inputs'!$C$9)))*'Scenario Inputs'!$C$15,0)</x:f>
        <x:v>1</x:v>
      </x:c>
      <x:c r="J8" s="201" t="n">
        <x:f>ROUNDDOWN(IF(8&lt;='Scenario Inputs'!$C$9,0,INDEX('Scenario Inputs'!$C$41:$AL$41,1,MAX(1,8-'Scenario Inputs'!$C$9)))*'Scenario Inputs'!$C$15,0)</x:f>
        <x:v>0</x:v>
      </x:c>
      <x:c r="K8" s="201" t="n">
        <x:f>ROUNDDOWN(IF(9&lt;='Scenario Inputs'!$C$9,0,INDEX('Scenario Inputs'!$C$41:$AL$41,1,MAX(1,9-'Scenario Inputs'!$C$9)))*'Scenario Inputs'!$C$15,0)</x:f>
        <x:v>0</x:v>
      </x:c>
      <x:c r="L8" s="201" t="n">
        <x:f>ROUNDDOWN(IF(10&lt;='Scenario Inputs'!$C$9,0,INDEX('Scenario Inputs'!$C$41:$AL$41,1,MAX(1,10-'Scenario Inputs'!$C$9)))*'Scenario Inputs'!$C$15,0)</x:f>
        <x:v>1</x:v>
      </x:c>
      <x:c r="M8" s="201" t="n">
        <x:f>ROUNDDOWN(IF(11&lt;='Scenario Inputs'!$C$9,0,INDEX('Scenario Inputs'!$C$41:$AL$41,1,MAX(1,11-'Scenario Inputs'!$C$9)))*'Scenario Inputs'!$C$15,0)</x:f>
        <x:v>0</x:v>
      </x:c>
      <x:c r="N8" s="201" t="n">
        <x:f>ROUNDDOWN(IF(12&lt;='Scenario Inputs'!$C$9,0,INDEX('Scenario Inputs'!$C$41:$AL$41,1,MAX(1,12-'Scenario Inputs'!$C$9)))*'Scenario Inputs'!$C$15,0)</x:f>
        <x:v>0</x:v>
      </x:c>
      <x:c r="O8" s="201" t="n">
        <x:f>ROUNDDOWN(IF(13&lt;='Scenario Inputs'!$C$9,0,INDEX('Scenario Inputs'!$C$41:$AL$41,1,MAX(1,13-'Scenario Inputs'!$C$9)))*'Scenario Inputs'!$C$15,0)</x:f>
        <x:v>0</x:v>
      </x:c>
      <x:c r="P8" s="201" t="n">
        <x:f>ROUNDDOWN(IF(14&lt;='Scenario Inputs'!$C$9,0,INDEX('Scenario Inputs'!$C$41:$AL$41,1,MAX(1,14-'Scenario Inputs'!$C$9)))*'Scenario Inputs'!$C$15,0)</x:f>
        <x:v>0</x:v>
      </x:c>
      <x:c r="Q8" s="201" t="n">
        <x:f>ROUNDDOWN(IF(15&lt;='Scenario Inputs'!$C$9,0,INDEX('Scenario Inputs'!$C$41:$AL$41,1,MAX(1,15-'Scenario Inputs'!$C$9)))*'Scenario Inputs'!$C$15,0)</x:f>
        <x:v>1</x:v>
      </x:c>
      <x:c r="R8" s="201" t="n">
        <x:f>ROUNDDOWN(IF(16&lt;='Scenario Inputs'!$C$9,0,INDEX('Scenario Inputs'!$C$41:$AL$41,1,MAX(1,16-'Scenario Inputs'!$C$9)))*'Scenario Inputs'!$C$15,0)</x:f>
        <x:v>0</x:v>
      </x:c>
      <x:c r="S8" s="201" t="n">
        <x:f>ROUNDDOWN(IF(17&lt;='Scenario Inputs'!$C$9,0,INDEX('Scenario Inputs'!$C$41:$AL$41,1,MAX(1,17-'Scenario Inputs'!$C$9)))*'Scenario Inputs'!$C$15,0)</x:f>
        <x:v>0</x:v>
      </x:c>
      <x:c r="T8" s="201" t="n">
        <x:f>ROUNDDOWN(IF(18&lt;='Scenario Inputs'!$C$9,0,INDEX('Scenario Inputs'!$C$41:$AL$41,1,MAX(1,18-'Scenario Inputs'!$C$9)))*'Scenario Inputs'!$C$15,0)</x:f>
        <x:v>0</x:v>
      </x:c>
      <x:c r="U8" s="201" t="n">
        <x:f>ROUNDDOWN(IF(19&lt;='Scenario Inputs'!$C$9,0,INDEX('Scenario Inputs'!$C$41:$AL$41,1,MAX(1,19-'Scenario Inputs'!$C$9)))*'Scenario Inputs'!$C$15,0)</x:f>
        <x:v>0</x:v>
      </x:c>
      <x:c r="V8" s="201" t="n">
        <x:f>ROUNDDOWN(IF(20&lt;='Scenario Inputs'!$C$9,0,INDEX('Scenario Inputs'!$C$41:$AL$41,1,MAX(1,20-'Scenario Inputs'!$C$9)))*'Scenario Inputs'!$C$15,0)</x:f>
        <x:v>0</x:v>
      </x:c>
      <x:c r="W8" s="201" t="n">
        <x:f>ROUNDDOWN(IF(21&lt;='Scenario Inputs'!$C$9,0,INDEX('Scenario Inputs'!$C$41:$AL$41,1,MAX(1,21-'Scenario Inputs'!$C$9)))*'Scenario Inputs'!$C$15,0)</x:f>
        <x:v>1</x:v>
      </x:c>
      <x:c r="X8" s="201" t="n">
        <x:f>ROUNDDOWN(IF(22&lt;='Scenario Inputs'!$C$9,0,INDEX('Scenario Inputs'!$C$41:$AL$41,1,MAX(1,22-'Scenario Inputs'!$C$9)))*'Scenario Inputs'!$C$15,0)</x:f>
        <x:v>0</x:v>
      </x:c>
      <x:c r="Y8" s="201" t="n">
        <x:f>ROUNDDOWN(IF(23&lt;='Scenario Inputs'!$C$9,0,INDEX('Scenario Inputs'!$C$41:$AL$41,1,MAX(1,23-'Scenario Inputs'!$C$9)))*'Scenario Inputs'!$C$15,0)</x:f>
        <x:v>0</x:v>
      </x:c>
      <x:c r="Z8" s="201" t="n">
        <x:f>ROUNDDOWN(IF(24&lt;='Scenario Inputs'!$C$9,0,INDEX('Scenario Inputs'!$C$41:$AL$41,1,MAX(1,24-'Scenario Inputs'!$C$9)))*'Scenario Inputs'!$C$15,0)</x:f>
        <x:v>0</x:v>
      </x:c>
      <x:c r="AA8" s="201" t="n">
        <x:f>ROUNDDOWN(IF(25&lt;='Scenario Inputs'!$C$9,0,INDEX('Scenario Inputs'!$C$41:$AL$41,1,MAX(1,25-'Scenario Inputs'!$C$9)))*'Scenario Inputs'!$C$15,0)</x:f>
        <x:v>0</x:v>
      </x:c>
      <x:c r="AB8" s="201" t="n">
        <x:f>ROUNDDOWN(IF(26&lt;='Scenario Inputs'!$C$9,0,INDEX('Scenario Inputs'!$C$41:$AL$41,1,MAX(1,26-'Scenario Inputs'!$C$9)))*'Scenario Inputs'!$C$15,0)</x:f>
        <x:v>0</x:v>
      </x:c>
      <x:c r="AC8" s="201" t="n">
        <x:f>ROUNDDOWN(IF(27&lt;='Scenario Inputs'!$C$9,0,INDEX('Scenario Inputs'!$C$41:$AL$41,1,MAX(1,27-'Scenario Inputs'!$C$9)))*'Scenario Inputs'!$C$15,0)</x:f>
        <x:v>1</x:v>
      </x:c>
      <x:c r="AD8" s="201" t="n">
        <x:f>ROUNDDOWN(IF(28&lt;='Scenario Inputs'!$C$9,0,INDEX('Scenario Inputs'!$C$41:$AL$41,1,MAX(1,28-'Scenario Inputs'!$C$9)))*'Scenario Inputs'!$C$15,0)</x:f>
        <x:v>0</x:v>
      </x:c>
      <x:c r="AE8" s="201" t="n">
        <x:f>ROUNDDOWN(IF(29&lt;='Scenario Inputs'!$C$9,0,INDEX('Scenario Inputs'!$C$41:$AL$41,1,MAX(1,29-'Scenario Inputs'!$C$9)))*'Scenario Inputs'!$C$15,0)</x:f>
        <x:v>0</x:v>
      </x:c>
      <x:c r="AF8" s="201" t="n">
        <x:f>ROUNDDOWN(IF(30&lt;='Scenario Inputs'!$C$9,0,INDEX('Scenario Inputs'!$C$41:$AL$41,1,MAX(1,30-'Scenario Inputs'!$C$9)))*'Scenario Inputs'!$C$15,0)</x:f>
        <x:v>1</x:v>
      </x:c>
      <x:c r="AG8" s="201" t="n">
        <x:f>ROUNDDOWN(IF(31&lt;='Scenario Inputs'!$C$9,0,INDEX('Scenario Inputs'!$C$41:$AL$41,1,MAX(1,31-'Scenario Inputs'!$C$9)))*'Scenario Inputs'!$C$15,0)</x:f>
        <x:v>0</x:v>
      </x:c>
      <x:c r="AH8" s="201" t="n">
        <x:f>ROUNDDOWN(IF(32&lt;='Scenario Inputs'!$C$9,0,INDEX('Scenario Inputs'!$C$41:$AL$41,1,MAX(1,32-'Scenario Inputs'!$C$9)))*'Scenario Inputs'!$C$15,0)</x:f>
        <x:v>0</x:v>
      </x:c>
      <x:c r="AI8" s="201" t="n">
        <x:f>ROUNDDOWN(IF(33&lt;='Scenario Inputs'!$C$9,0,INDEX('Scenario Inputs'!$C$41:$AL$41,1,MAX(1,33-'Scenario Inputs'!$C$9)))*'Scenario Inputs'!$C$15,0)</x:f>
        <x:v>1</x:v>
      </x:c>
      <x:c r="AJ8" s="201" t="n">
        <x:f>ROUNDDOWN(IF(34&lt;='Scenario Inputs'!$C$9,0,INDEX('Scenario Inputs'!$C$41:$AL$41,1,MAX(1,34-'Scenario Inputs'!$C$9)))*'Scenario Inputs'!$C$15,0)</x:f>
        <x:v>0</x:v>
      </x:c>
      <x:c r="AK8" s="201" t="n">
        <x:f>ROUNDDOWN(IF(35&lt;='Scenario Inputs'!$C$9,0,INDEX('Scenario Inputs'!$C$41:$AL$41,1,MAX(1,35-'Scenario Inputs'!$C$9)))*'Scenario Inputs'!$C$15,0)</x:f>
        <x:v>0</x:v>
      </x:c>
      <x:c r="AL8" s="201" t="n">
        <x:f>ROUNDDOWN(IF(36&lt;='Scenario Inputs'!$C$9,0,INDEX('Scenario Inputs'!$C$41:$AL$41,1,MAX(1,36-'Scenario Inputs'!$C$9)))*'Scenario Inputs'!$C$15,0)</x:f>
        <x:v>1</x:v>
      </x:c>
    </x:row>
    <x:row r="9" ht="32" customHeight="1">
      <x:c r="B9" s="116" t="str">
        <x:v>Institution losses</x:v>
      </x:c>
      <x:c r="C9" s="201" t="n">
        <x:f>MIN(0,IF(1&lt;='Scenario Inputs'!$C$9,0,INDEX('Scenario Inputs'!$C$44:$AL$44,1,MAX(1,1-'Scenario Inputs'!$C$9))))</x:f>
        <x:v>0</x:v>
      </x:c>
      <x:c r="D9" s="201" t="n">
        <x:f>MIN(C10,IF(2&lt;='Scenario Inputs'!$C$9,0,INDEX('Scenario Inputs'!$C$44:$AL$44,1,MAX(1,2-'Scenario Inputs'!$C$9))))</x:f>
        <x:v>0</x:v>
      </x:c>
      <x:c r="E9" s="201" t="n">
        <x:f>MIN(D10,IF(3&lt;='Scenario Inputs'!$C$9,0,INDEX('Scenario Inputs'!$C$44:$AL$44,1,MAX(1,3-'Scenario Inputs'!$C$9))))</x:f>
        <x:v>0</x:v>
      </x:c>
      <x:c r="F9" s="201" t="n">
        <x:f>MIN(E10,IF(4&lt;='Scenario Inputs'!$C$9,0,INDEX('Scenario Inputs'!$C$44:$AL$44,1,MAX(1,4-'Scenario Inputs'!$C$9))))</x:f>
        <x:v>0</x:v>
      </x:c>
      <x:c r="G9" s="201" t="n">
        <x:f>MIN(F10,IF(5&lt;='Scenario Inputs'!$C$9,0,INDEX('Scenario Inputs'!$C$44:$AL$44,1,MAX(1,5-'Scenario Inputs'!$C$9))))</x:f>
        <x:v>0</x:v>
      </x:c>
      <x:c r="H9" s="201" t="n">
        <x:f>MIN(G10,IF(6&lt;='Scenario Inputs'!$C$9,0,INDEX('Scenario Inputs'!$C$44:$AL$44,1,MAX(1,6-'Scenario Inputs'!$C$9))))</x:f>
        <x:v>0</x:v>
      </x:c>
      <x:c r="I9" s="201" t="n">
        <x:f>MIN(H10,IF(7&lt;='Scenario Inputs'!$C$9,0,INDEX('Scenario Inputs'!$C$44:$AL$44,1,MAX(1,7-'Scenario Inputs'!$C$9))))</x:f>
        <x:v>0</x:v>
      </x:c>
      <x:c r="J9" s="201" t="n">
        <x:f>MIN(I10,IF(8&lt;='Scenario Inputs'!$C$9,0,INDEX('Scenario Inputs'!$C$44:$AL$44,1,MAX(1,8-'Scenario Inputs'!$C$9))))</x:f>
        <x:v>0</x:v>
      </x:c>
      <x:c r="K9" s="201" t="n">
        <x:f>MIN(J10,IF(9&lt;='Scenario Inputs'!$C$9,0,INDEX('Scenario Inputs'!$C$44:$AL$44,1,MAX(1,9-'Scenario Inputs'!$C$9))))</x:f>
        <x:v>0</x:v>
      </x:c>
      <x:c r="L9" s="201" t="n">
        <x:f>MIN(K10,IF(10&lt;='Scenario Inputs'!$C$9,0,INDEX('Scenario Inputs'!$C$44:$AL$44,1,MAX(1,10-'Scenario Inputs'!$C$9))))</x:f>
        <x:v>0</x:v>
      </x:c>
      <x:c r="M9" s="201" t="n">
        <x:f>MIN(L10,IF(11&lt;='Scenario Inputs'!$C$9,0,INDEX('Scenario Inputs'!$C$44:$AL$44,1,MAX(1,11-'Scenario Inputs'!$C$9))))</x:f>
        <x:v>0</x:v>
      </x:c>
      <x:c r="N9" s="201" t="n">
        <x:f>MIN(M10,IF(12&lt;='Scenario Inputs'!$C$9,0,INDEX('Scenario Inputs'!$C$44:$AL$44,1,MAX(1,12-'Scenario Inputs'!$C$9))))</x:f>
        <x:v>0</x:v>
      </x:c>
      <x:c r="O9" s="201" t="n">
        <x:f>MIN(N10,IF(13&lt;='Scenario Inputs'!$C$9,0,INDEX('Scenario Inputs'!$C$44:$AL$44,1,MAX(1,13-'Scenario Inputs'!$C$9))))</x:f>
        <x:v>0</x:v>
      </x:c>
      <x:c r="P9" s="201" t="n">
        <x:f>MIN(O10,IF(14&lt;='Scenario Inputs'!$C$9,0,INDEX('Scenario Inputs'!$C$44:$AL$44,1,MAX(1,14-'Scenario Inputs'!$C$9))))</x:f>
        <x:v>0</x:v>
      </x:c>
      <x:c r="Q9" s="201" t="n">
        <x:f>MIN(P10,IF(15&lt;='Scenario Inputs'!$C$9,0,INDEX('Scenario Inputs'!$C$44:$AL$44,1,MAX(1,15-'Scenario Inputs'!$C$9))))</x:f>
        <x:v>0</x:v>
      </x:c>
      <x:c r="R9" s="201" t="n">
        <x:f>MIN(Q10,IF(16&lt;='Scenario Inputs'!$C$9,0,INDEX('Scenario Inputs'!$C$44:$AL$44,1,MAX(1,16-'Scenario Inputs'!$C$9))))</x:f>
        <x:v>0</x:v>
      </x:c>
      <x:c r="S9" s="201" t="n">
        <x:f>MIN(R10,IF(17&lt;='Scenario Inputs'!$C$9,0,INDEX('Scenario Inputs'!$C$44:$AL$44,1,MAX(1,17-'Scenario Inputs'!$C$9))))</x:f>
        <x:v>0</x:v>
      </x:c>
      <x:c r="T9" s="201" t="n">
        <x:f>MIN(S10,IF(18&lt;='Scenario Inputs'!$C$9,0,INDEX('Scenario Inputs'!$C$44:$AL$44,1,MAX(1,18-'Scenario Inputs'!$C$9))))</x:f>
        <x:v>0</x:v>
      </x:c>
      <x:c r="U9" s="201" t="n">
        <x:f>MIN(T10,IF(19&lt;='Scenario Inputs'!$C$9,0,INDEX('Scenario Inputs'!$C$44:$AL$44,1,MAX(1,19-'Scenario Inputs'!$C$9))))</x:f>
        <x:v>0</x:v>
      </x:c>
      <x:c r="V9" s="201" t="n">
        <x:f>MIN(U10,IF(20&lt;='Scenario Inputs'!$C$9,0,INDEX('Scenario Inputs'!$C$44:$AL$44,1,MAX(1,20-'Scenario Inputs'!$C$9))))</x:f>
        <x:v>0</x:v>
      </x:c>
      <x:c r="W9" s="201" t="n">
        <x:f>MIN(V10,IF(21&lt;='Scenario Inputs'!$C$9,0,INDEX('Scenario Inputs'!$C$44:$AL$44,1,MAX(1,21-'Scenario Inputs'!$C$9))))</x:f>
        <x:v>0</x:v>
      </x:c>
      <x:c r="X9" s="201" t="n">
        <x:f>MIN(W10,IF(22&lt;='Scenario Inputs'!$C$9,0,INDEX('Scenario Inputs'!$C$44:$AL$44,1,MAX(1,22-'Scenario Inputs'!$C$9))))</x:f>
        <x:v>0</x:v>
      </x:c>
      <x:c r="Y9" s="201" t="n">
        <x:f>MIN(X10,IF(23&lt;='Scenario Inputs'!$C$9,0,INDEX('Scenario Inputs'!$C$44:$AL$44,1,MAX(1,23-'Scenario Inputs'!$C$9))))</x:f>
        <x:v>0</x:v>
      </x:c>
      <x:c r="Z9" s="201" t="n">
        <x:f>MIN(Y10,IF(24&lt;='Scenario Inputs'!$C$9,0,INDEX('Scenario Inputs'!$C$44:$AL$44,1,MAX(1,24-'Scenario Inputs'!$C$9))))</x:f>
        <x:v>0</x:v>
      </x:c>
      <x:c r="AA9" s="201" t="n">
        <x:f>MIN(Z10,IF(25&lt;='Scenario Inputs'!$C$9,0,INDEX('Scenario Inputs'!$C$44:$AL$44,1,MAX(1,25-'Scenario Inputs'!$C$9))))</x:f>
        <x:v>0</x:v>
      </x:c>
      <x:c r="AB9" s="201" t="n">
        <x:f>MIN(AA10,IF(26&lt;='Scenario Inputs'!$C$9,0,INDEX('Scenario Inputs'!$C$44:$AL$44,1,MAX(1,26-'Scenario Inputs'!$C$9))))</x:f>
        <x:v>0</x:v>
      </x:c>
      <x:c r="AC9" s="201" t="n">
        <x:f>MIN(AB10,IF(27&lt;='Scenario Inputs'!$C$9,0,INDEX('Scenario Inputs'!$C$44:$AL$44,1,MAX(1,27-'Scenario Inputs'!$C$9))))</x:f>
        <x:v>0</x:v>
      </x:c>
      <x:c r="AD9" s="201" t="n">
        <x:f>MIN(AC10,IF(28&lt;='Scenario Inputs'!$C$9,0,INDEX('Scenario Inputs'!$C$44:$AL$44,1,MAX(1,28-'Scenario Inputs'!$C$9))))</x:f>
        <x:v>0</x:v>
      </x:c>
      <x:c r="AE9" s="201" t="n">
        <x:f>MIN(AD10,IF(29&lt;='Scenario Inputs'!$C$9,0,INDEX('Scenario Inputs'!$C$44:$AL$44,1,MAX(1,29-'Scenario Inputs'!$C$9))))</x:f>
        <x:v>0</x:v>
      </x:c>
      <x:c r="AF9" s="201" t="n">
        <x:f>MIN(AE10,IF(30&lt;='Scenario Inputs'!$C$9,0,INDEX('Scenario Inputs'!$C$44:$AL$44,1,MAX(1,30-'Scenario Inputs'!$C$9))))</x:f>
        <x:v>0</x:v>
      </x:c>
      <x:c r="AG9" s="201" t="n">
        <x:f>MIN(AF10,IF(31&lt;='Scenario Inputs'!$C$9,0,INDEX('Scenario Inputs'!$C$44:$AL$44,1,MAX(1,31-'Scenario Inputs'!$C$9))))</x:f>
        <x:v>0</x:v>
      </x:c>
      <x:c r="AH9" s="201" t="n">
        <x:f>MIN(AG10,IF(32&lt;='Scenario Inputs'!$C$9,0,INDEX('Scenario Inputs'!$C$44:$AL$44,1,MAX(1,32-'Scenario Inputs'!$C$9))))</x:f>
        <x:v>0</x:v>
      </x:c>
      <x:c r="AI9" s="201" t="n">
        <x:f>MIN(AH10,IF(33&lt;='Scenario Inputs'!$C$9,0,INDEX('Scenario Inputs'!$C$44:$AL$44,1,MAX(1,33-'Scenario Inputs'!$C$9))))</x:f>
        <x:v>0</x:v>
      </x:c>
      <x:c r="AJ9" s="201" t="n">
        <x:f>MIN(AI10,IF(34&lt;='Scenario Inputs'!$C$9,0,INDEX('Scenario Inputs'!$C$44:$AL$44,1,MAX(1,34-'Scenario Inputs'!$C$9))))</x:f>
        <x:v>0</x:v>
      </x:c>
      <x:c r="AK9" s="201" t="n">
        <x:f>MIN(AJ10,IF(35&lt;='Scenario Inputs'!$C$9,0,INDEX('Scenario Inputs'!$C$44:$AL$44,1,MAX(1,35-'Scenario Inputs'!$C$9))))</x:f>
        <x:v>0</x:v>
      </x:c>
      <x:c r="AL9" s="201" t="n">
        <x:f>MIN(AK10,IF(36&lt;='Scenario Inputs'!$C$9,0,INDEX('Scenario Inputs'!$C$44:$AL$44,1,MAX(1,36-'Scenario Inputs'!$C$9))))</x:f>
        <x:v>0</x:v>
      </x:c>
    </x:row>
    <x:row r="10" ht="32" customHeight="1">
      <x:c r="B10" s="116" t="str">
        <x:v>Active institutions</x:v>
      </x:c>
      <x:c r="C10" s="201" t="n">
        <x:f>0+C8-C9</x:f>
        <x:v>0</x:v>
      </x:c>
      <x:c r="D10" s="201" t="n">
        <x:f>C10+D8-D9</x:f>
        <x:v>0</x:v>
      </x:c>
      <x:c r="E10" s="201" t="n">
        <x:f>D10+E8-E9</x:f>
        <x:v>0</x:v>
      </x:c>
      <x:c r="F10" s="201" t="n">
        <x:f>E10+F8-F9</x:f>
        <x:v>0</x:v>
      </x:c>
      <x:c r="G10" s="201" t="n">
        <x:f>F10+G8-G9</x:f>
        <x:v>0</x:v>
      </x:c>
      <x:c r="H10" s="201" t="n">
        <x:f>G10+H8-H9</x:f>
        <x:v>0</x:v>
      </x:c>
      <x:c r="I10" s="201" t="n">
        <x:f>H10+I8-I9</x:f>
        <x:v>1</x:v>
      </x:c>
      <x:c r="J10" s="201" t="n">
        <x:f>I10+J8-J9</x:f>
        <x:v>1</x:v>
      </x:c>
      <x:c r="K10" s="201" t="n">
        <x:f>J10+K8-K9</x:f>
        <x:v>1</x:v>
      </x:c>
      <x:c r="L10" s="201" t="n">
        <x:f>K10+L8-L9</x:f>
        <x:v>2</x:v>
      </x:c>
      <x:c r="M10" s="201" t="n">
        <x:f>L10+M8-M9</x:f>
        <x:v>2</x:v>
      </x:c>
      <x:c r="N10" s="201" t="n">
        <x:f>M10+N8-N9</x:f>
        <x:v>2</x:v>
      </x:c>
      <x:c r="O10" s="201" t="n">
        <x:f>N10+O8-O9</x:f>
        <x:v>2</x:v>
      </x:c>
      <x:c r="P10" s="201" t="n">
        <x:f>O10+P8-P9</x:f>
        <x:v>2</x:v>
      </x:c>
      <x:c r="Q10" s="201" t="n">
        <x:f>P10+Q8-Q9</x:f>
        <x:v>3</x:v>
      </x:c>
      <x:c r="R10" s="201" t="n">
        <x:f>Q10+R8-R9</x:f>
        <x:v>3</x:v>
      </x:c>
      <x:c r="S10" s="201" t="n">
        <x:f>R10+S8-S9</x:f>
        <x:v>3</x:v>
      </x:c>
      <x:c r="T10" s="201" t="n">
        <x:f>S10+T8-T9</x:f>
        <x:v>3</x:v>
      </x:c>
      <x:c r="U10" s="201" t="n">
        <x:f>T10+U8-U9</x:f>
        <x:v>3</x:v>
      </x:c>
      <x:c r="V10" s="201" t="n">
        <x:f>U10+V8-V9</x:f>
        <x:v>3</x:v>
      </x:c>
      <x:c r="W10" s="201" t="n">
        <x:f>V10+W8-W9</x:f>
        <x:v>4</x:v>
      </x:c>
      <x:c r="X10" s="201" t="n">
        <x:f>W10+X8-X9</x:f>
        <x:v>4</x:v>
      </x:c>
      <x:c r="Y10" s="201" t="n">
        <x:f>X10+Y8-Y9</x:f>
        <x:v>4</x:v>
      </x:c>
      <x:c r="Z10" s="201" t="n">
        <x:f>Y10+Z8-Z9</x:f>
        <x:v>4</x:v>
      </x:c>
      <x:c r="AA10" s="201" t="n">
        <x:f>Z10+AA8-AA9</x:f>
        <x:v>4</x:v>
      </x:c>
      <x:c r="AB10" s="201" t="n">
        <x:f>AA10+AB8-AB9</x:f>
        <x:v>4</x:v>
      </x:c>
      <x:c r="AC10" s="201" t="n">
        <x:f>AB10+AC8-AC9</x:f>
        <x:v>5</x:v>
      </x:c>
      <x:c r="AD10" s="201" t="n">
        <x:f>AC10+AD8-AD9</x:f>
        <x:v>5</x:v>
      </x:c>
      <x:c r="AE10" s="201" t="n">
        <x:f>AD10+AE8-AE9</x:f>
        <x:v>5</x:v>
      </x:c>
      <x:c r="AF10" s="201" t="n">
        <x:f>AE10+AF8-AF9</x:f>
        <x:v>6</x:v>
      </x:c>
      <x:c r="AG10" s="201" t="n">
        <x:f>AF10+AG8-AG9</x:f>
        <x:v>6</x:v>
      </x:c>
      <x:c r="AH10" s="201" t="n">
        <x:f>AG10+AH8-AH9</x:f>
        <x:v>6</x:v>
      </x:c>
      <x:c r="AI10" s="201" t="n">
        <x:f>AH10+AI8-AI9</x:f>
        <x:v>7</x:v>
      </x:c>
      <x:c r="AJ10" s="201" t="n">
        <x:f>AI10+AJ8-AJ9</x:f>
        <x:v>7</x:v>
      </x:c>
      <x:c r="AK10" s="201" t="n">
        <x:f>AJ10+AK8-AK9</x:f>
        <x:v>7</x:v>
      </x:c>
      <x:c r="AL10" s="201" t="n">
        <x:f>AK10+AL8-AL9</x:f>
        <x:v>8</x:v>
      </x:c>
    </x:row>
    <x:row r="11" ht="32" customHeight="1">
      <x:c r="B11" s="116" t="str">
        <x:v>Institution fee / month</x:v>
      </x:c>
      <x:c r="C11" s="200" t="n">
        <x:f>'Revenue Model'!D9/12</x:f>
        <x:v>3000</x:v>
      </x:c>
      <x:c r="D11" s="200" t="n">
        <x:f>'Revenue Model'!D9/12</x:f>
        <x:v>3000</x:v>
      </x:c>
      <x:c r="E11" s="200" t="n">
        <x:f>'Revenue Model'!D9/12</x:f>
        <x:v>3000</x:v>
      </x:c>
      <x:c r="F11" s="200" t="n">
        <x:f>'Revenue Model'!D9/12</x:f>
        <x:v>3000</x:v>
      </x:c>
      <x:c r="G11" s="200" t="n">
        <x:f>'Revenue Model'!D9/12</x:f>
        <x:v>3000</x:v>
      </x:c>
      <x:c r="H11" s="200" t="n">
        <x:f>'Revenue Model'!D9/12</x:f>
        <x:v>3000</x:v>
      </x:c>
      <x:c r="I11" s="200" t="n">
        <x:f>'Revenue Model'!D9/12</x:f>
        <x:v>3000</x:v>
      </x:c>
      <x:c r="J11" s="200" t="n">
        <x:f>'Revenue Model'!D9/12</x:f>
        <x:v>3000</x:v>
      </x:c>
      <x:c r="K11" s="200" t="n">
        <x:f>'Revenue Model'!D9/12</x:f>
        <x:v>3000</x:v>
      </x:c>
      <x:c r="L11" s="200" t="n">
        <x:f>'Revenue Model'!D9/12</x:f>
        <x:v>3000</x:v>
      </x:c>
      <x:c r="M11" s="200" t="n">
        <x:f>'Revenue Model'!D9/12</x:f>
        <x:v>3000</x:v>
      </x:c>
      <x:c r="N11" s="200" t="n">
        <x:f>'Revenue Model'!D9/12</x:f>
        <x:v>3000</x:v>
      </x:c>
      <x:c r="O11" s="200" t="n">
        <x:f>'Revenue Model'!E9/12</x:f>
        <x:v>4000</x:v>
      </x:c>
      <x:c r="P11" s="200" t="n">
        <x:f>'Revenue Model'!E9/12</x:f>
        <x:v>4000</x:v>
      </x:c>
      <x:c r="Q11" s="200" t="n">
        <x:f>'Revenue Model'!E9/12</x:f>
        <x:v>4000</x:v>
      </x:c>
      <x:c r="R11" s="200" t="n">
        <x:f>'Revenue Model'!E9/12</x:f>
        <x:v>4000</x:v>
      </x:c>
      <x:c r="S11" s="200" t="n">
        <x:f>'Revenue Model'!E9/12</x:f>
        <x:v>4000</x:v>
      </x:c>
      <x:c r="T11" s="200" t="n">
        <x:f>'Revenue Model'!E9/12</x:f>
        <x:v>4000</x:v>
      </x:c>
      <x:c r="U11" s="200" t="n">
        <x:f>'Revenue Model'!E9/12</x:f>
        <x:v>4000</x:v>
      </x:c>
      <x:c r="V11" s="200" t="n">
        <x:f>'Revenue Model'!E9/12</x:f>
        <x:v>4000</x:v>
      </x:c>
      <x:c r="W11" s="200" t="n">
        <x:f>'Revenue Model'!E9/12</x:f>
        <x:v>4000</x:v>
      </x:c>
      <x:c r="X11" s="200" t="n">
        <x:f>'Revenue Model'!E9/12</x:f>
        <x:v>4000</x:v>
      </x:c>
      <x:c r="Y11" s="200" t="n">
        <x:f>'Revenue Model'!E9/12</x:f>
        <x:v>4000</x:v>
      </x:c>
      <x:c r="Z11" s="200" t="n">
        <x:f>'Revenue Model'!E9/12</x:f>
        <x:v>4000</x:v>
      </x:c>
      <x:c r="AA11" s="200" t="n">
        <x:f>'Revenue Model'!F9/12</x:f>
        <x:v>5000</x:v>
      </x:c>
      <x:c r="AB11" s="200" t="n">
        <x:f>'Revenue Model'!F9/12</x:f>
        <x:v>5000</x:v>
      </x:c>
      <x:c r="AC11" s="200" t="n">
        <x:f>'Revenue Model'!F9/12</x:f>
        <x:v>5000</x:v>
      </x:c>
      <x:c r="AD11" s="200" t="n">
        <x:f>'Revenue Model'!F9/12</x:f>
        <x:v>5000</x:v>
      </x:c>
      <x:c r="AE11" s="200" t="n">
        <x:f>'Revenue Model'!F9/12</x:f>
        <x:v>5000</x:v>
      </x:c>
      <x:c r="AF11" s="200" t="n">
        <x:f>'Revenue Model'!F9/12</x:f>
        <x:v>5000</x:v>
      </x:c>
      <x:c r="AG11" s="200" t="n">
        <x:f>'Revenue Model'!F9/12</x:f>
        <x:v>5000</x:v>
      </x:c>
      <x:c r="AH11" s="200" t="n">
        <x:f>'Revenue Model'!F9/12</x:f>
        <x:v>5000</x:v>
      </x:c>
      <x:c r="AI11" s="200" t="n">
        <x:f>'Revenue Model'!F9/12</x:f>
        <x:v>5000</x:v>
      </x:c>
      <x:c r="AJ11" s="200" t="n">
        <x:f>'Revenue Model'!F9/12</x:f>
        <x:v>5000</x:v>
      </x:c>
      <x:c r="AK11" s="200" t="n">
        <x:f>'Revenue Model'!F9/12</x:f>
        <x:v>5000</x:v>
      </x:c>
      <x:c r="AL11" s="200" t="n">
        <x:f>'Revenue Model'!F9/12</x:f>
        <x:v>5000</x:v>
      </x:c>
    </x:row>
    <x:row r="12" ht="32" customHeight="1">
      <x:c r="B12" s="116" t="str">
        <x:v>New standalone SaaS accounts</x:v>
      </x:c>
      <x:c r="C12" s="201" t="n">
        <x:f>ROUNDDOWN(SUM('Scenario Inputs'!$C$42:INDEX('Scenario Inputs'!$C$42:$AL$42,1,MAX(1,1-'Scenario Inputs'!$C$9)))*'Scenario Inputs'!$C$14,0)-0</x:f>
        <x:v>0</x:v>
      </x:c>
      <x:c r="D12" s="201" t="n">
        <x:f>ROUNDDOWN(SUM('Scenario Inputs'!$C$42:INDEX('Scenario Inputs'!$C$42:$AL$42,1,MAX(1,2-'Scenario Inputs'!$C$9)))*'Scenario Inputs'!$C$14,0)-SUM($C12:C12)</x:f>
        <x:v>0</x:v>
      </x:c>
      <x:c r="E12" s="201" t="n">
        <x:f>ROUNDDOWN(SUM('Scenario Inputs'!$C$42:INDEX('Scenario Inputs'!$C$42:$AL$42,1,MAX(1,3-'Scenario Inputs'!$C$9)))*'Scenario Inputs'!$C$14,0)-SUM($C12:D12)</x:f>
        <x:v>0</x:v>
      </x:c>
      <x:c r="F12" s="201" t="n">
        <x:f>ROUNDDOWN(SUM('Scenario Inputs'!$C$42:INDEX('Scenario Inputs'!$C$42:$AL$42,1,MAX(1,4-'Scenario Inputs'!$C$9)))*'Scenario Inputs'!$C$14,0)-SUM($C12:E12)</x:f>
        <x:v>0</x:v>
      </x:c>
      <x:c r="G12" s="201" t="n">
        <x:f>ROUNDDOWN(SUM('Scenario Inputs'!$C$42:INDEX('Scenario Inputs'!$C$42:$AL$42,1,MAX(1,5-'Scenario Inputs'!$C$9)))*'Scenario Inputs'!$C$14,0)-SUM($C12:F12)</x:f>
        <x:v>0</x:v>
      </x:c>
      <x:c r="H12" s="201" t="n">
        <x:f>ROUNDDOWN(SUM('Scenario Inputs'!$C$42:INDEX('Scenario Inputs'!$C$42:$AL$42,1,MAX(1,6-'Scenario Inputs'!$C$9)))*'Scenario Inputs'!$C$14,0)-SUM($C12:G12)</x:f>
        <x:v>0</x:v>
      </x:c>
      <x:c r="I12" s="201" t="n">
        <x:f>ROUNDDOWN(SUM('Scenario Inputs'!$C$42:INDEX('Scenario Inputs'!$C$42:$AL$42,1,MAX(1,7-'Scenario Inputs'!$C$9)))*'Scenario Inputs'!$C$14,0)-SUM($C12:H12)</x:f>
        <x:v>1</x:v>
      </x:c>
      <x:c r="J12" s="201" t="n">
        <x:f>ROUNDDOWN(SUM('Scenario Inputs'!$C$42:INDEX('Scenario Inputs'!$C$42:$AL$42,1,MAX(1,8-'Scenario Inputs'!$C$9)))*'Scenario Inputs'!$C$14,0)-SUM($C12:I12)</x:f>
        <x:v>1</x:v>
      </x:c>
      <x:c r="K12" s="201" t="n">
        <x:f>ROUNDDOWN(SUM('Scenario Inputs'!$C$42:INDEX('Scenario Inputs'!$C$42:$AL$42,1,MAX(1,9-'Scenario Inputs'!$C$9)))*'Scenario Inputs'!$C$14,0)-SUM($C12:J12)</x:f>
        <x:v>1</x:v>
      </x:c>
      <x:c r="L12" s="201" t="n">
        <x:f>ROUNDDOWN(SUM('Scenario Inputs'!$C$42:INDEX('Scenario Inputs'!$C$42:$AL$42,1,MAX(1,10-'Scenario Inputs'!$C$9)))*'Scenario Inputs'!$C$14,0)-SUM($C12:K12)</x:f>
        <x:v>1</x:v>
      </x:c>
      <x:c r="M12" s="201" t="n">
        <x:f>ROUNDDOWN(SUM('Scenario Inputs'!$C$42:INDEX('Scenario Inputs'!$C$42:$AL$42,1,MAX(1,11-'Scenario Inputs'!$C$9)))*'Scenario Inputs'!$C$14,0)-SUM($C12:L12)</x:f>
        <x:v>1</x:v>
      </x:c>
      <x:c r="N12" s="201" t="n">
        <x:f>ROUNDDOWN(SUM('Scenario Inputs'!$C$42:INDEX('Scenario Inputs'!$C$42:$AL$42,1,MAX(1,12-'Scenario Inputs'!$C$9)))*'Scenario Inputs'!$C$14,0)-SUM($C12:M12)</x:f>
        <x:v>0</x:v>
      </x:c>
      <x:c r="O12" s="201" t="n">
        <x:f>ROUNDDOWN(SUM('Scenario Inputs'!$C$42:INDEX('Scenario Inputs'!$C$42:$AL$42,1,MAX(1,13-'Scenario Inputs'!$C$9)))*'Scenario Inputs'!$C$14,0)-SUM($C12:N12)</x:f>
        <x:v>1</x:v>
      </x:c>
      <x:c r="P12" s="201" t="n">
        <x:f>ROUNDDOWN(SUM('Scenario Inputs'!$C$42:INDEX('Scenario Inputs'!$C$42:$AL$42,1,MAX(1,14-'Scenario Inputs'!$C$9)))*'Scenario Inputs'!$C$14,0)-SUM($C12:O12)</x:f>
        <x:v>1</x:v>
      </x:c>
      <x:c r="Q12" s="201" t="n">
        <x:f>ROUNDDOWN(SUM('Scenario Inputs'!$C$42:INDEX('Scenario Inputs'!$C$42:$AL$42,1,MAX(1,15-'Scenario Inputs'!$C$9)))*'Scenario Inputs'!$C$14,0)-SUM($C12:P12)</x:f>
        <x:v>1</x:v>
      </x:c>
      <x:c r="R12" s="201" t="n">
        <x:f>ROUNDDOWN(SUM('Scenario Inputs'!$C$42:INDEX('Scenario Inputs'!$C$42:$AL$42,1,MAX(1,16-'Scenario Inputs'!$C$9)))*'Scenario Inputs'!$C$14,0)-SUM($C12:Q12)</x:f>
        <x:v>1</x:v>
      </x:c>
      <x:c r="S12" s="201" t="n">
        <x:f>ROUNDDOWN(SUM('Scenario Inputs'!$C$42:INDEX('Scenario Inputs'!$C$42:$AL$42,1,MAX(1,17-'Scenario Inputs'!$C$9)))*'Scenario Inputs'!$C$14,0)-SUM($C12:R12)</x:f>
        <x:v>1</x:v>
      </x:c>
      <x:c r="T12" s="201" t="n">
        <x:f>ROUNDDOWN(SUM('Scenario Inputs'!$C$42:INDEX('Scenario Inputs'!$C$42:$AL$42,1,MAX(1,18-'Scenario Inputs'!$C$9)))*'Scenario Inputs'!$C$14,0)-SUM($C12:S12)</x:f>
        <x:v>0</x:v>
      </x:c>
      <x:c r="U12" s="201" t="n">
        <x:f>ROUNDDOWN(SUM('Scenario Inputs'!$C$42:INDEX('Scenario Inputs'!$C$42:$AL$42,1,MAX(1,19-'Scenario Inputs'!$C$9)))*'Scenario Inputs'!$C$14,0)-SUM($C12:T12)</x:f>
        <x:v>1</x:v>
      </x:c>
      <x:c r="V12" s="201" t="n">
        <x:f>ROUNDDOWN(SUM('Scenario Inputs'!$C$42:INDEX('Scenario Inputs'!$C$42:$AL$42,1,MAX(1,20-'Scenario Inputs'!$C$9)))*'Scenario Inputs'!$C$14,0)-SUM($C12:U12)</x:f>
        <x:v>1</x:v>
      </x:c>
      <x:c r="W12" s="201" t="n">
        <x:f>ROUNDDOWN(SUM('Scenario Inputs'!$C$42:INDEX('Scenario Inputs'!$C$42:$AL$42,1,MAX(1,21-'Scenario Inputs'!$C$9)))*'Scenario Inputs'!$C$14,0)-SUM($C12:V12)</x:f>
        <x:v>1</x:v>
      </x:c>
      <x:c r="X12" s="201" t="n">
        <x:f>ROUNDDOWN(SUM('Scenario Inputs'!$C$42:INDEX('Scenario Inputs'!$C$42:$AL$42,1,MAX(1,22-'Scenario Inputs'!$C$9)))*'Scenario Inputs'!$C$14,0)-SUM($C12:W12)</x:f>
        <x:v>1</x:v>
      </x:c>
      <x:c r="Y12" s="201" t="n">
        <x:f>ROUNDDOWN(SUM('Scenario Inputs'!$C$42:INDEX('Scenario Inputs'!$C$42:$AL$42,1,MAX(1,23-'Scenario Inputs'!$C$9)))*'Scenario Inputs'!$C$14,0)-SUM($C12:X12)</x:f>
        <x:v>1</x:v>
      </x:c>
      <x:c r="Z12" s="201" t="n">
        <x:f>ROUNDDOWN(SUM('Scenario Inputs'!$C$42:INDEX('Scenario Inputs'!$C$42:$AL$42,1,MAX(1,24-'Scenario Inputs'!$C$9)))*'Scenario Inputs'!$C$14,0)-SUM($C12:Y12)</x:f>
        <x:v>0</x:v>
      </x:c>
      <x:c r="AA12" s="201" t="n">
        <x:f>ROUNDDOWN(SUM('Scenario Inputs'!$C$42:INDEX('Scenario Inputs'!$C$42:$AL$42,1,MAX(1,25-'Scenario Inputs'!$C$9)))*'Scenario Inputs'!$C$14,0)-SUM($C12:Z12)</x:f>
        <x:v>2</x:v>
      </x:c>
      <x:c r="AB12" s="201" t="n">
        <x:f>ROUNDDOWN(SUM('Scenario Inputs'!$C$42:INDEX('Scenario Inputs'!$C$42:$AL$42,1,MAX(1,26-'Scenario Inputs'!$C$9)))*'Scenario Inputs'!$C$14,0)-SUM($C12:AA12)</x:f>
        <x:v>2</x:v>
      </x:c>
      <x:c r="AC12" s="201" t="n">
        <x:f>ROUNDDOWN(SUM('Scenario Inputs'!$C$42:INDEX('Scenario Inputs'!$C$42:$AL$42,1,MAX(1,27-'Scenario Inputs'!$C$9)))*'Scenario Inputs'!$C$14,0)-SUM($C12:AB12)</x:f>
        <x:v>2</x:v>
      </x:c>
      <x:c r="AD12" s="201" t="n">
        <x:f>ROUNDDOWN(SUM('Scenario Inputs'!$C$42:INDEX('Scenario Inputs'!$C$42:$AL$42,1,MAX(1,28-'Scenario Inputs'!$C$9)))*'Scenario Inputs'!$C$14,0)-SUM($C12:AC12)</x:f>
        <x:v>2</x:v>
      </x:c>
      <x:c r="AE12" s="201" t="n">
        <x:f>ROUNDDOWN(SUM('Scenario Inputs'!$C$42:INDEX('Scenario Inputs'!$C$42:$AL$42,1,MAX(1,29-'Scenario Inputs'!$C$9)))*'Scenario Inputs'!$C$14,0)-SUM($C12:AD12)</x:f>
        <x:v>2</x:v>
      </x:c>
      <x:c r="AF12" s="201" t="n">
        <x:f>ROUNDDOWN(SUM('Scenario Inputs'!$C$42:INDEX('Scenario Inputs'!$C$42:$AL$42,1,MAX(1,30-'Scenario Inputs'!$C$9)))*'Scenario Inputs'!$C$14,0)-SUM($C12:AE12)</x:f>
        <x:v>2</x:v>
      </x:c>
      <x:c r="AG12" s="201" t="n">
        <x:f>ROUNDDOWN(SUM('Scenario Inputs'!$C$42:INDEX('Scenario Inputs'!$C$42:$AL$42,1,MAX(1,31-'Scenario Inputs'!$C$9)))*'Scenario Inputs'!$C$14,0)-SUM($C12:AF12)</x:f>
        <x:v>2</x:v>
      </x:c>
      <x:c r="AH12" s="201" t="n">
        <x:f>ROUNDDOWN(SUM('Scenario Inputs'!$C$42:INDEX('Scenario Inputs'!$C$42:$AL$42,1,MAX(1,32-'Scenario Inputs'!$C$9)))*'Scenario Inputs'!$C$14,0)-SUM($C12:AG12)</x:f>
        <x:v>2</x:v>
      </x:c>
      <x:c r="AI12" s="201" t="n">
        <x:f>ROUNDDOWN(SUM('Scenario Inputs'!$C$42:INDEX('Scenario Inputs'!$C$42:$AL$42,1,MAX(1,33-'Scenario Inputs'!$C$9)))*'Scenario Inputs'!$C$14,0)-SUM($C12:AH12)</x:f>
        <x:v>2</x:v>
      </x:c>
      <x:c r="AJ12" s="201" t="n">
        <x:f>ROUNDDOWN(SUM('Scenario Inputs'!$C$42:INDEX('Scenario Inputs'!$C$42:$AL$42,1,MAX(1,34-'Scenario Inputs'!$C$9)))*'Scenario Inputs'!$C$14,0)-SUM($C12:AI12)</x:f>
        <x:v>2</x:v>
      </x:c>
      <x:c r="AK12" s="201" t="n">
        <x:f>ROUNDDOWN(SUM('Scenario Inputs'!$C$42:INDEX('Scenario Inputs'!$C$42:$AL$42,1,MAX(1,35-'Scenario Inputs'!$C$9)))*'Scenario Inputs'!$C$14,0)-SUM($C12:AJ12)</x:f>
        <x:v>2</x:v>
      </x:c>
      <x:c r="AL12" s="201" t="n">
        <x:f>ROUNDDOWN(SUM('Scenario Inputs'!$C$42:INDEX('Scenario Inputs'!$C$42:$AL$42,1,MAX(1,36-'Scenario Inputs'!$C$9)))*'Scenario Inputs'!$C$14,0)-SUM($C12:AK12)</x:f>
        <x:v>3</x:v>
      </x:c>
    </x:row>
    <x:row r="13" ht="32" customHeight="1">
      <x:c r="B13" s="116" t="str">
        <x:v>SaaS losses</x:v>
      </x:c>
      <x:c r="C13" s="201" t="n">
        <x:f>MIN(0,IF(1&lt;='Scenario Inputs'!$C$9,0,INDEX('Scenario Inputs'!$C$45:$AL$45,1,MAX(1,1-'Scenario Inputs'!$C$9))))</x:f>
        <x:v>0</x:v>
      </x:c>
      <x:c r="D13" s="201" t="n">
        <x:f>MIN(C14,IF(2&lt;='Scenario Inputs'!$C$9,0,INDEX('Scenario Inputs'!$C$45:$AL$45,1,MAX(1,2-'Scenario Inputs'!$C$9))))</x:f>
        <x:v>0</x:v>
      </x:c>
      <x:c r="E13" s="201" t="n">
        <x:f>MIN(D14,IF(3&lt;='Scenario Inputs'!$C$9,0,INDEX('Scenario Inputs'!$C$45:$AL$45,1,MAX(1,3-'Scenario Inputs'!$C$9))))</x:f>
        <x:v>0</x:v>
      </x:c>
      <x:c r="F13" s="201" t="n">
        <x:f>MIN(E14,IF(4&lt;='Scenario Inputs'!$C$9,0,INDEX('Scenario Inputs'!$C$45:$AL$45,1,MAX(1,4-'Scenario Inputs'!$C$9))))</x:f>
        <x:v>0</x:v>
      </x:c>
      <x:c r="G13" s="201" t="n">
        <x:f>MIN(F14,IF(5&lt;='Scenario Inputs'!$C$9,0,INDEX('Scenario Inputs'!$C$45:$AL$45,1,MAX(1,5-'Scenario Inputs'!$C$9))))</x:f>
        <x:v>0</x:v>
      </x:c>
      <x:c r="H13" s="201" t="n">
        <x:f>MIN(G14,IF(6&lt;='Scenario Inputs'!$C$9,0,INDEX('Scenario Inputs'!$C$45:$AL$45,1,MAX(1,6-'Scenario Inputs'!$C$9))))</x:f>
        <x:v>0</x:v>
      </x:c>
      <x:c r="I13" s="201" t="n">
        <x:f>MIN(H14,IF(7&lt;='Scenario Inputs'!$C$9,0,INDEX('Scenario Inputs'!$C$45:$AL$45,1,MAX(1,7-'Scenario Inputs'!$C$9))))</x:f>
        <x:v>0</x:v>
      </x:c>
      <x:c r="J13" s="201" t="n">
        <x:f>MIN(I14,IF(8&lt;='Scenario Inputs'!$C$9,0,INDEX('Scenario Inputs'!$C$45:$AL$45,1,MAX(1,8-'Scenario Inputs'!$C$9))))</x:f>
        <x:v>0</x:v>
      </x:c>
      <x:c r="K13" s="201" t="n">
        <x:f>MIN(J14,IF(9&lt;='Scenario Inputs'!$C$9,0,INDEX('Scenario Inputs'!$C$45:$AL$45,1,MAX(1,9-'Scenario Inputs'!$C$9))))</x:f>
        <x:v>0</x:v>
      </x:c>
      <x:c r="L13" s="201" t="n">
        <x:f>MIN(K14,IF(10&lt;='Scenario Inputs'!$C$9,0,INDEX('Scenario Inputs'!$C$45:$AL$45,1,MAX(1,10-'Scenario Inputs'!$C$9))))</x:f>
        <x:v>0</x:v>
      </x:c>
      <x:c r="M13" s="201" t="n">
        <x:f>MIN(L14,IF(11&lt;='Scenario Inputs'!$C$9,0,INDEX('Scenario Inputs'!$C$45:$AL$45,1,MAX(1,11-'Scenario Inputs'!$C$9))))</x:f>
        <x:v>0</x:v>
      </x:c>
      <x:c r="N13" s="201" t="n">
        <x:f>MIN(M14,IF(12&lt;='Scenario Inputs'!$C$9,0,INDEX('Scenario Inputs'!$C$45:$AL$45,1,MAX(1,12-'Scenario Inputs'!$C$9))))</x:f>
        <x:v>0</x:v>
      </x:c>
      <x:c r="O13" s="201" t="n">
        <x:f>MIN(N14,IF(13&lt;='Scenario Inputs'!$C$9,0,INDEX('Scenario Inputs'!$C$45:$AL$45,1,MAX(1,13-'Scenario Inputs'!$C$9))))</x:f>
        <x:v>0</x:v>
      </x:c>
      <x:c r="P13" s="201" t="n">
        <x:f>MIN(O14,IF(14&lt;='Scenario Inputs'!$C$9,0,INDEX('Scenario Inputs'!$C$45:$AL$45,1,MAX(1,14-'Scenario Inputs'!$C$9))))</x:f>
        <x:v>0</x:v>
      </x:c>
      <x:c r="Q13" s="201" t="n">
        <x:f>MIN(P14,IF(15&lt;='Scenario Inputs'!$C$9,0,INDEX('Scenario Inputs'!$C$45:$AL$45,1,MAX(1,15-'Scenario Inputs'!$C$9))))</x:f>
        <x:v>0</x:v>
      </x:c>
      <x:c r="R13" s="201" t="n">
        <x:f>MIN(Q14,IF(16&lt;='Scenario Inputs'!$C$9,0,INDEX('Scenario Inputs'!$C$45:$AL$45,1,MAX(1,16-'Scenario Inputs'!$C$9))))</x:f>
        <x:v>0</x:v>
      </x:c>
      <x:c r="S13" s="201" t="n">
        <x:f>MIN(R14,IF(17&lt;='Scenario Inputs'!$C$9,0,INDEX('Scenario Inputs'!$C$45:$AL$45,1,MAX(1,17-'Scenario Inputs'!$C$9))))</x:f>
        <x:v>0</x:v>
      </x:c>
      <x:c r="T13" s="201" t="n">
        <x:f>MIN(S14,IF(18&lt;='Scenario Inputs'!$C$9,0,INDEX('Scenario Inputs'!$C$45:$AL$45,1,MAX(1,18-'Scenario Inputs'!$C$9))))</x:f>
        <x:v>0</x:v>
      </x:c>
      <x:c r="U13" s="201" t="n">
        <x:f>MIN(T14,IF(19&lt;='Scenario Inputs'!$C$9,0,INDEX('Scenario Inputs'!$C$45:$AL$45,1,MAX(1,19-'Scenario Inputs'!$C$9))))</x:f>
        <x:v>0</x:v>
      </x:c>
      <x:c r="V13" s="201" t="n">
        <x:f>MIN(U14,IF(20&lt;='Scenario Inputs'!$C$9,0,INDEX('Scenario Inputs'!$C$45:$AL$45,1,MAX(1,20-'Scenario Inputs'!$C$9))))</x:f>
        <x:v>0</x:v>
      </x:c>
      <x:c r="W13" s="201" t="n">
        <x:f>MIN(V14,IF(21&lt;='Scenario Inputs'!$C$9,0,INDEX('Scenario Inputs'!$C$45:$AL$45,1,MAX(1,21-'Scenario Inputs'!$C$9))))</x:f>
        <x:v>0</x:v>
      </x:c>
      <x:c r="X13" s="201" t="n">
        <x:f>MIN(W14,IF(22&lt;='Scenario Inputs'!$C$9,0,INDEX('Scenario Inputs'!$C$45:$AL$45,1,MAX(1,22-'Scenario Inputs'!$C$9))))</x:f>
        <x:v>0</x:v>
      </x:c>
      <x:c r="Y13" s="201" t="n">
        <x:f>MIN(X14,IF(23&lt;='Scenario Inputs'!$C$9,0,INDEX('Scenario Inputs'!$C$45:$AL$45,1,MAX(1,23-'Scenario Inputs'!$C$9))))</x:f>
        <x:v>0</x:v>
      </x:c>
      <x:c r="Z13" s="201" t="n">
        <x:f>MIN(Y14,IF(24&lt;='Scenario Inputs'!$C$9,0,INDEX('Scenario Inputs'!$C$45:$AL$45,1,MAX(1,24-'Scenario Inputs'!$C$9))))</x:f>
        <x:v>0</x:v>
      </x:c>
      <x:c r="AA13" s="201" t="n">
        <x:f>MIN(Z14,IF(25&lt;='Scenario Inputs'!$C$9,0,INDEX('Scenario Inputs'!$C$45:$AL$45,1,MAX(1,25-'Scenario Inputs'!$C$9))))</x:f>
        <x:v>0</x:v>
      </x:c>
      <x:c r="AB13" s="201" t="n">
        <x:f>MIN(AA14,IF(26&lt;='Scenario Inputs'!$C$9,0,INDEX('Scenario Inputs'!$C$45:$AL$45,1,MAX(1,26-'Scenario Inputs'!$C$9))))</x:f>
        <x:v>0</x:v>
      </x:c>
      <x:c r="AC13" s="201" t="n">
        <x:f>MIN(AB14,IF(27&lt;='Scenario Inputs'!$C$9,0,INDEX('Scenario Inputs'!$C$45:$AL$45,1,MAX(1,27-'Scenario Inputs'!$C$9))))</x:f>
        <x:v>0</x:v>
      </x:c>
      <x:c r="AD13" s="201" t="n">
        <x:f>MIN(AC14,IF(28&lt;='Scenario Inputs'!$C$9,0,INDEX('Scenario Inputs'!$C$45:$AL$45,1,MAX(1,28-'Scenario Inputs'!$C$9))))</x:f>
        <x:v>0</x:v>
      </x:c>
      <x:c r="AE13" s="201" t="n">
        <x:f>MIN(AD14,IF(29&lt;='Scenario Inputs'!$C$9,0,INDEX('Scenario Inputs'!$C$45:$AL$45,1,MAX(1,29-'Scenario Inputs'!$C$9))))</x:f>
        <x:v>0</x:v>
      </x:c>
      <x:c r="AF13" s="201" t="n">
        <x:f>MIN(AE14,IF(30&lt;='Scenario Inputs'!$C$9,0,INDEX('Scenario Inputs'!$C$45:$AL$45,1,MAX(1,30-'Scenario Inputs'!$C$9))))</x:f>
        <x:v>0</x:v>
      </x:c>
      <x:c r="AG13" s="201" t="n">
        <x:f>MIN(AF14,IF(31&lt;='Scenario Inputs'!$C$9,0,INDEX('Scenario Inputs'!$C$45:$AL$45,1,MAX(1,31-'Scenario Inputs'!$C$9))))</x:f>
        <x:v>0</x:v>
      </x:c>
      <x:c r="AH13" s="201" t="n">
        <x:f>MIN(AG14,IF(32&lt;='Scenario Inputs'!$C$9,0,INDEX('Scenario Inputs'!$C$45:$AL$45,1,MAX(1,32-'Scenario Inputs'!$C$9))))</x:f>
        <x:v>0</x:v>
      </x:c>
      <x:c r="AI13" s="201" t="n">
        <x:f>MIN(AH14,IF(33&lt;='Scenario Inputs'!$C$9,0,INDEX('Scenario Inputs'!$C$45:$AL$45,1,MAX(1,33-'Scenario Inputs'!$C$9))))</x:f>
        <x:v>0</x:v>
      </x:c>
      <x:c r="AJ13" s="201" t="n">
        <x:f>MIN(AI14,IF(34&lt;='Scenario Inputs'!$C$9,0,INDEX('Scenario Inputs'!$C$45:$AL$45,1,MAX(1,34-'Scenario Inputs'!$C$9))))</x:f>
        <x:v>0</x:v>
      </x:c>
      <x:c r="AK13" s="201" t="n">
        <x:f>MIN(AJ14,IF(35&lt;='Scenario Inputs'!$C$9,0,INDEX('Scenario Inputs'!$C$45:$AL$45,1,MAX(1,35-'Scenario Inputs'!$C$9))))</x:f>
        <x:v>0</x:v>
      </x:c>
      <x:c r="AL13" s="201" t="n">
        <x:f>MIN(AK14,IF(36&lt;='Scenario Inputs'!$C$9,0,INDEX('Scenario Inputs'!$C$45:$AL$45,1,MAX(1,36-'Scenario Inputs'!$C$9))))</x:f>
        <x:v>0</x:v>
      </x:c>
    </x:row>
    <x:row r="14" ht="32" customHeight="1">
      <x:c r="B14" s="116" t="str">
        <x:v>Active SaaS accounts</x:v>
      </x:c>
      <x:c r="C14" s="201" t="n">
        <x:f>0+C12-C13</x:f>
        <x:v>0</x:v>
      </x:c>
      <x:c r="D14" s="201" t="n">
        <x:f>C14+D12-D13</x:f>
        <x:v>0</x:v>
      </x:c>
      <x:c r="E14" s="201" t="n">
        <x:f>D14+E12-E13</x:f>
        <x:v>0</x:v>
      </x:c>
      <x:c r="F14" s="201" t="n">
        <x:f>E14+F12-F13</x:f>
        <x:v>0</x:v>
      </x:c>
      <x:c r="G14" s="201" t="n">
        <x:f>F14+G12-G13</x:f>
        <x:v>0</x:v>
      </x:c>
      <x:c r="H14" s="201" t="n">
        <x:f>G14+H12-H13</x:f>
        <x:v>0</x:v>
      </x:c>
      <x:c r="I14" s="201" t="n">
        <x:f>H14+I12-I13</x:f>
        <x:v>1</x:v>
      </x:c>
      <x:c r="J14" s="201" t="n">
        <x:f>I14+J12-J13</x:f>
        <x:v>2</x:v>
      </x:c>
      <x:c r="K14" s="201" t="n">
        <x:f>J14+K12-K13</x:f>
        <x:v>3</x:v>
      </x:c>
      <x:c r="L14" s="201" t="n">
        <x:f>K14+L12-L13</x:f>
        <x:v>4</x:v>
      </x:c>
      <x:c r="M14" s="201" t="n">
        <x:f>L14+M12-M13</x:f>
        <x:v>5</x:v>
      </x:c>
      <x:c r="N14" s="201" t="n">
        <x:f>M14+N12-N13</x:f>
        <x:v>5</x:v>
      </x:c>
      <x:c r="O14" s="201" t="n">
        <x:f>N14+O12-O13</x:f>
        <x:v>6</x:v>
      </x:c>
      <x:c r="P14" s="201" t="n">
        <x:f>O14+P12-P13</x:f>
        <x:v>7</x:v>
      </x:c>
      <x:c r="Q14" s="201" t="n">
        <x:f>P14+Q12-Q13</x:f>
        <x:v>8</x:v>
      </x:c>
      <x:c r="R14" s="201" t="n">
        <x:f>Q14+R12-R13</x:f>
        <x:v>9</x:v>
      </x:c>
      <x:c r="S14" s="201" t="n">
        <x:f>R14+S12-S13</x:f>
        <x:v>10</x:v>
      </x:c>
      <x:c r="T14" s="201" t="n">
        <x:f>S14+T12-T13</x:f>
        <x:v>10</x:v>
      </x:c>
      <x:c r="U14" s="201" t="n">
        <x:f>T14+U12-U13</x:f>
        <x:v>11</x:v>
      </x:c>
      <x:c r="V14" s="201" t="n">
        <x:f>U14+V12-V13</x:f>
        <x:v>12</x:v>
      </x:c>
      <x:c r="W14" s="201" t="n">
        <x:f>V14+W12-W13</x:f>
        <x:v>13</x:v>
      </x:c>
      <x:c r="X14" s="201" t="n">
        <x:f>W14+X12-X13</x:f>
        <x:v>14</x:v>
      </x:c>
      <x:c r="Y14" s="201" t="n">
        <x:f>X14+Y12-Y13</x:f>
        <x:v>15</x:v>
      </x:c>
      <x:c r="Z14" s="201" t="n">
        <x:f>Y14+Z12-Z13</x:f>
        <x:v>15</x:v>
      </x:c>
      <x:c r="AA14" s="201" t="n">
        <x:f>Z14+AA12-AA13</x:f>
        <x:v>17</x:v>
      </x:c>
      <x:c r="AB14" s="201" t="n">
        <x:f>AA14+AB12-AB13</x:f>
        <x:v>19</x:v>
      </x:c>
      <x:c r="AC14" s="201" t="n">
        <x:f>AB14+AC12-AC13</x:f>
        <x:v>21</x:v>
      </x:c>
      <x:c r="AD14" s="201" t="n">
        <x:f>AC14+AD12-AD13</x:f>
        <x:v>23</x:v>
      </x:c>
      <x:c r="AE14" s="201" t="n">
        <x:f>AD14+AE12-AE13</x:f>
        <x:v>25</x:v>
      </x:c>
      <x:c r="AF14" s="201" t="n">
        <x:f>AE14+AF12-AF13</x:f>
        <x:v>27</x:v>
      </x:c>
      <x:c r="AG14" s="201" t="n">
        <x:f>AF14+AG12-AG13</x:f>
        <x:v>29</x:v>
      </x:c>
      <x:c r="AH14" s="201" t="n">
        <x:f>AG14+AH12-AH13</x:f>
        <x:v>31</x:v>
      </x:c>
      <x:c r="AI14" s="201" t="n">
        <x:f>AH14+AI12-AI13</x:f>
        <x:v>33</x:v>
      </x:c>
      <x:c r="AJ14" s="201" t="n">
        <x:f>AI14+AJ12-AJ13</x:f>
        <x:v>35</x:v>
      </x:c>
      <x:c r="AK14" s="201" t="n">
        <x:f>AJ14+AK12-AK13</x:f>
        <x:v>37</x:v>
      </x:c>
      <x:c r="AL14" s="201" t="n">
        <x:f>AK14+AL12-AL13</x:f>
        <x:v>40</x:v>
      </x:c>
    </x:row>
    <x:row r="15" ht="32" customHeight="1">
      <x:c r="B15" s="116" t="str">
        <x:v>Institution recurring revenue</x:v>
      </x:c>
      <x:c r="C15" s="200" t="n">
        <x:f>C10*C11</x:f>
        <x:v>0</x:v>
      </x:c>
      <x:c r="D15" s="200" t="n">
        <x:f>D10*D11</x:f>
        <x:v>0</x:v>
      </x:c>
      <x:c r="E15" s="200" t="n">
        <x:f>E10*E11</x:f>
        <x:v>0</x:v>
      </x:c>
      <x:c r="F15" s="200" t="n">
        <x:f>F10*F11</x:f>
        <x:v>0</x:v>
      </x:c>
      <x:c r="G15" s="200" t="n">
        <x:f>G10*G11</x:f>
        <x:v>0</x:v>
      </x:c>
      <x:c r="H15" s="200" t="n">
        <x:f>H10*H11</x:f>
        <x:v>0</x:v>
      </x:c>
      <x:c r="I15" s="200" t="n">
        <x:f>I10*I11</x:f>
        <x:v>3000</x:v>
      </x:c>
      <x:c r="J15" s="200" t="n">
        <x:f>J10*J11</x:f>
        <x:v>3000</x:v>
      </x:c>
      <x:c r="K15" s="200" t="n">
        <x:f>K10*K11</x:f>
        <x:v>3000</x:v>
      </x:c>
      <x:c r="L15" s="200" t="n">
        <x:f>L10*L11</x:f>
        <x:v>6000</x:v>
      </x:c>
      <x:c r="M15" s="200" t="n">
        <x:f>M10*M11</x:f>
        <x:v>6000</x:v>
      </x:c>
      <x:c r="N15" s="200" t="n">
        <x:f>N10*N11</x:f>
        <x:v>6000</x:v>
      </x:c>
      <x:c r="O15" s="200" t="n">
        <x:f>O10*O11</x:f>
        <x:v>8000</x:v>
      </x:c>
      <x:c r="P15" s="200" t="n">
        <x:f>P10*P11</x:f>
        <x:v>8000</x:v>
      </x:c>
      <x:c r="Q15" s="200" t="n">
        <x:f>Q10*Q11</x:f>
        <x:v>12000</x:v>
      </x:c>
      <x:c r="R15" s="200" t="n">
        <x:f>R10*R11</x:f>
        <x:v>12000</x:v>
      </x:c>
      <x:c r="S15" s="200" t="n">
        <x:f>S10*S11</x:f>
        <x:v>12000</x:v>
      </x:c>
      <x:c r="T15" s="200" t="n">
        <x:f>T10*T11</x:f>
        <x:v>12000</x:v>
      </x:c>
      <x:c r="U15" s="200" t="n">
        <x:f>U10*U11</x:f>
        <x:v>12000</x:v>
      </x:c>
      <x:c r="V15" s="200" t="n">
        <x:f>V10*V11</x:f>
        <x:v>12000</x:v>
      </x:c>
      <x:c r="W15" s="200" t="n">
        <x:f>W10*W11</x:f>
        <x:v>16000</x:v>
      </x:c>
      <x:c r="X15" s="200" t="n">
        <x:f>X10*X11</x:f>
        <x:v>16000</x:v>
      </x:c>
      <x:c r="Y15" s="200" t="n">
        <x:f>Y10*Y11</x:f>
        <x:v>16000</x:v>
      </x:c>
      <x:c r="Z15" s="200" t="n">
        <x:f>Z10*Z11</x:f>
        <x:v>16000</x:v>
      </x:c>
      <x:c r="AA15" s="200" t="n">
        <x:f>AA10*AA11</x:f>
        <x:v>20000</x:v>
      </x:c>
      <x:c r="AB15" s="200" t="n">
        <x:f>AB10*AB11</x:f>
        <x:v>20000</x:v>
      </x:c>
      <x:c r="AC15" s="200" t="n">
        <x:f>AC10*AC11</x:f>
        <x:v>25000</x:v>
      </x:c>
      <x:c r="AD15" s="200" t="n">
        <x:f>AD10*AD11</x:f>
        <x:v>25000</x:v>
      </x:c>
      <x:c r="AE15" s="200" t="n">
        <x:f>AE10*AE11</x:f>
        <x:v>25000</x:v>
      </x:c>
      <x:c r="AF15" s="200" t="n">
        <x:f>AF10*AF11</x:f>
        <x:v>30000</x:v>
      </x:c>
      <x:c r="AG15" s="200" t="n">
        <x:f>AG10*AG11</x:f>
        <x:v>30000</x:v>
      </x:c>
      <x:c r="AH15" s="200" t="n">
        <x:f>AH10*AH11</x:f>
        <x:v>30000</x:v>
      </x:c>
      <x:c r="AI15" s="200" t="n">
        <x:f>AI10*AI11</x:f>
        <x:v>35000</x:v>
      </x:c>
      <x:c r="AJ15" s="200" t="n">
        <x:f>AJ10*AJ11</x:f>
        <x:v>35000</x:v>
      </x:c>
      <x:c r="AK15" s="200" t="n">
        <x:f>AK10*AK11</x:f>
        <x:v>35000</x:v>
      </x:c>
      <x:c r="AL15" s="200" t="n">
        <x:f>AL10*AL11</x:f>
        <x:v>40000</x:v>
      </x:c>
    </x:row>
    <x:row r="16" ht="32" customHeight="1">
      <x:c r="B16" s="116" t="str">
        <x:v>Institution onboarding revenue</x:v>
      </x:c>
      <x:c r="C16" s="200" t="n">
        <x:f>C8*'Scenario Inputs'!$C$22</x:f>
        <x:v>0</x:v>
      </x:c>
      <x:c r="D16" s="200" t="n">
        <x:f>D8*'Scenario Inputs'!$C$22</x:f>
        <x:v>0</x:v>
      </x:c>
      <x:c r="E16" s="200" t="n">
        <x:f>E8*'Scenario Inputs'!$C$22</x:f>
        <x:v>0</x:v>
      </x:c>
      <x:c r="F16" s="200" t="n">
        <x:f>F8*'Scenario Inputs'!$C$22</x:f>
        <x:v>0</x:v>
      </x:c>
      <x:c r="G16" s="200" t="n">
        <x:f>G8*'Scenario Inputs'!$C$22</x:f>
        <x:v>0</x:v>
      </x:c>
      <x:c r="H16" s="200" t="n">
        <x:f>H8*'Scenario Inputs'!$C$22</x:f>
        <x:v>0</x:v>
      </x:c>
      <x:c r="I16" s="200" t="n">
        <x:f>I8*'Scenario Inputs'!$C$22</x:f>
        <x:v>15000</x:v>
      </x:c>
      <x:c r="J16" s="200" t="n">
        <x:f>J8*'Scenario Inputs'!$C$22</x:f>
        <x:v>0</x:v>
      </x:c>
      <x:c r="K16" s="200" t="n">
        <x:f>K8*'Scenario Inputs'!$C$22</x:f>
        <x:v>0</x:v>
      </x:c>
      <x:c r="L16" s="200" t="n">
        <x:f>L8*'Scenario Inputs'!$C$22</x:f>
        <x:v>15000</x:v>
      </x:c>
      <x:c r="M16" s="200" t="n">
        <x:f>M8*'Scenario Inputs'!$C$22</x:f>
        <x:v>0</x:v>
      </x:c>
      <x:c r="N16" s="200" t="n">
        <x:f>N8*'Scenario Inputs'!$C$22</x:f>
        <x:v>0</x:v>
      </x:c>
      <x:c r="O16" s="200" t="n">
        <x:f>O8*'Scenario Inputs'!$C$22</x:f>
        <x:v>0</x:v>
      </x:c>
      <x:c r="P16" s="200" t="n">
        <x:f>P8*'Scenario Inputs'!$C$22</x:f>
        <x:v>0</x:v>
      </x:c>
      <x:c r="Q16" s="200" t="n">
        <x:f>Q8*'Scenario Inputs'!$C$22</x:f>
        <x:v>15000</x:v>
      </x:c>
      <x:c r="R16" s="200" t="n">
        <x:f>R8*'Scenario Inputs'!$C$22</x:f>
        <x:v>0</x:v>
      </x:c>
      <x:c r="S16" s="200" t="n">
        <x:f>S8*'Scenario Inputs'!$C$22</x:f>
        <x:v>0</x:v>
      </x:c>
      <x:c r="T16" s="200" t="n">
        <x:f>T8*'Scenario Inputs'!$C$22</x:f>
        <x:v>0</x:v>
      </x:c>
      <x:c r="U16" s="200" t="n">
        <x:f>U8*'Scenario Inputs'!$C$22</x:f>
        <x:v>0</x:v>
      </x:c>
      <x:c r="V16" s="200" t="n">
        <x:f>V8*'Scenario Inputs'!$C$22</x:f>
        <x:v>0</x:v>
      </x:c>
      <x:c r="W16" s="200" t="n">
        <x:f>W8*'Scenario Inputs'!$C$22</x:f>
        <x:v>15000</x:v>
      </x:c>
      <x:c r="X16" s="200" t="n">
        <x:f>X8*'Scenario Inputs'!$C$22</x:f>
        <x:v>0</x:v>
      </x:c>
      <x:c r="Y16" s="200" t="n">
        <x:f>Y8*'Scenario Inputs'!$C$22</x:f>
        <x:v>0</x:v>
      </x:c>
      <x:c r="Z16" s="200" t="n">
        <x:f>Z8*'Scenario Inputs'!$C$22</x:f>
        <x:v>0</x:v>
      </x:c>
      <x:c r="AA16" s="200" t="n">
        <x:f>AA8*'Scenario Inputs'!$C$22</x:f>
        <x:v>0</x:v>
      </x:c>
      <x:c r="AB16" s="200" t="n">
        <x:f>AB8*'Scenario Inputs'!$C$22</x:f>
        <x:v>0</x:v>
      </x:c>
      <x:c r="AC16" s="200" t="n">
        <x:f>AC8*'Scenario Inputs'!$C$22</x:f>
        <x:v>15000</x:v>
      </x:c>
      <x:c r="AD16" s="200" t="n">
        <x:f>AD8*'Scenario Inputs'!$C$22</x:f>
        <x:v>0</x:v>
      </x:c>
      <x:c r="AE16" s="200" t="n">
        <x:f>AE8*'Scenario Inputs'!$C$22</x:f>
        <x:v>0</x:v>
      </x:c>
      <x:c r="AF16" s="200" t="n">
        <x:f>AF8*'Scenario Inputs'!$C$22</x:f>
        <x:v>15000</x:v>
      </x:c>
      <x:c r="AG16" s="200" t="n">
        <x:f>AG8*'Scenario Inputs'!$C$22</x:f>
        <x:v>0</x:v>
      </x:c>
      <x:c r="AH16" s="200" t="n">
        <x:f>AH8*'Scenario Inputs'!$C$22</x:f>
        <x:v>0</x:v>
      </x:c>
      <x:c r="AI16" s="200" t="n">
        <x:f>AI8*'Scenario Inputs'!$C$22</x:f>
        <x:v>15000</x:v>
      </x:c>
      <x:c r="AJ16" s="200" t="n">
        <x:f>AJ8*'Scenario Inputs'!$C$22</x:f>
        <x:v>0</x:v>
      </x:c>
      <x:c r="AK16" s="200" t="n">
        <x:f>AK8*'Scenario Inputs'!$C$22</x:f>
        <x:v>0</x:v>
      </x:c>
      <x:c r="AL16" s="200" t="n">
        <x:f>AL8*'Scenario Inputs'!$C$22</x:f>
        <x:v>15000</x:v>
      </x:c>
    </x:row>
    <x:row r="17" ht="32" customHeight="1">
      <x:c r="B17" s="116" t="str">
        <x:v>Completed routed volume</x:v>
      </x:c>
      <x:c r="C17" s="200" t="n">
        <x:f>IF(1&lt;='Scenario Inputs'!$C$9,0,INDEX('Scenario Inputs'!$C$43:$AL$43,1,MAX(1,1-'Scenario Inputs'!$C$9)))*'Scenario Inputs'!$C$16*'Revenue Model'!D13</x:f>
        <x:v>0</x:v>
      </x:c>
      <x:c r="D17" s="200" t="n">
        <x:f>IF(2&lt;='Scenario Inputs'!$C$9,0,INDEX('Scenario Inputs'!$C$43:$AL$43,1,MAX(1,2-'Scenario Inputs'!$C$9)))*'Scenario Inputs'!$C$16*'Revenue Model'!D13</x:f>
        <x:v>0</x:v>
      </x:c>
      <x:c r="E17" s="200" t="n">
        <x:f>IF(3&lt;='Scenario Inputs'!$C$9,0,INDEX('Scenario Inputs'!$C$43:$AL$43,1,MAX(1,3-'Scenario Inputs'!$C$9)))*'Scenario Inputs'!$C$16*'Revenue Model'!D13</x:f>
        <x:v>0</x:v>
      </x:c>
      <x:c r="F17" s="200" t="n">
        <x:f>IF(4&lt;='Scenario Inputs'!$C$9,0,INDEX('Scenario Inputs'!$C$43:$AL$43,1,MAX(1,4-'Scenario Inputs'!$C$9)))*'Scenario Inputs'!$C$16*'Revenue Model'!D13</x:f>
        <x:v>0</x:v>
      </x:c>
      <x:c r="G17" s="200" t="n">
        <x:f>IF(5&lt;='Scenario Inputs'!$C$9,0,INDEX('Scenario Inputs'!$C$43:$AL$43,1,MAX(1,5-'Scenario Inputs'!$C$9)))*'Scenario Inputs'!$C$16*'Revenue Model'!D13</x:f>
        <x:v>0</x:v>
      </x:c>
      <x:c r="H17" s="200" t="n">
        <x:f>IF(6&lt;='Scenario Inputs'!$C$9,0,INDEX('Scenario Inputs'!$C$43:$AL$43,1,MAX(1,6-'Scenario Inputs'!$C$9)))*'Scenario Inputs'!$C$16*'Revenue Model'!D13</x:f>
        <x:v>0</x:v>
      </x:c>
      <x:c r="I17" s="200" t="n">
        <x:f>IF(7&lt;='Scenario Inputs'!$C$9,0,INDEX('Scenario Inputs'!$C$43:$AL$43,1,MAX(1,7-'Scenario Inputs'!$C$9)))*'Scenario Inputs'!$C$16*'Revenue Model'!D13</x:f>
        <x:v>0</x:v>
      </x:c>
      <x:c r="J17" s="200" t="n">
        <x:f>IF(8&lt;='Scenario Inputs'!$C$9,0,INDEX('Scenario Inputs'!$C$43:$AL$43,1,MAX(1,8-'Scenario Inputs'!$C$9)))*'Scenario Inputs'!$C$16*'Revenue Model'!D13</x:f>
        <x:v>0</x:v>
      </x:c>
      <x:c r="K17" s="200" t="n">
        <x:f>IF(9&lt;='Scenario Inputs'!$C$9,0,INDEX('Scenario Inputs'!$C$43:$AL$43,1,MAX(1,9-'Scenario Inputs'!$C$9)))*'Scenario Inputs'!$C$16*'Revenue Model'!D13</x:f>
        <x:v>0</x:v>
      </x:c>
      <x:c r="L17" s="200" t="n">
        <x:f>IF(10&lt;='Scenario Inputs'!$C$9,0,INDEX('Scenario Inputs'!$C$43:$AL$43,1,MAX(1,10-'Scenario Inputs'!$C$9)))*'Scenario Inputs'!$C$16*'Revenue Model'!D13</x:f>
        <x:v>1000000</x:v>
      </x:c>
      <x:c r="M17" s="200" t="n">
        <x:f>IF(11&lt;='Scenario Inputs'!$C$9,0,INDEX('Scenario Inputs'!$C$43:$AL$43,1,MAX(1,11-'Scenario Inputs'!$C$9)))*'Scenario Inputs'!$C$16*'Revenue Model'!D13</x:f>
        <x:v>1000000</x:v>
      </x:c>
      <x:c r="N17" s="200" t="n">
        <x:f>IF(12&lt;='Scenario Inputs'!$C$9,0,INDEX('Scenario Inputs'!$C$43:$AL$43,1,MAX(1,12-'Scenario Inputs'!$C$9)))*'Scenario Inputs'!$C$16*'Revenue Model'!D13</x:f>
        <x:v>1000000</x:v>
      </x:c>
      <x:c r="O17" s="200" t="n">
        <x:f>IF(13&lt;='Scenario Inputs'!$C$9,0,INDEX('Scenario Inputs'!$C$43:$AL$43,1,MAX(1,13-'Scenario Inputs'!$C$9)))*'Scenario Inputs'!$C$16*'Revenue Model'!E13</x:f>
        <x:v>1500000</x:v>
      </x:c>
      <x:c r="P17" s="200" t="n">
        <x:f>IF(14&lt;='Scenario Inputs'!$C$9,0,INDEX('Scenario Inputs'!$C$43:$AL$43,1,MAX(1,14-'Scenario Inputs'!$C$9)))*'Scenario Inputs'!$C$16*'Revenue Model'!E13</x:f>
        <x:v>750000</x:v>
      </x:c>
      <x:c r="Q17" s="200" t="n">
        <x:f>IF(15&lt;='Scenario Inputs'!$C$9,0,INDEX('Scenario Inputs'!$C$43:$AL$43,1,MAX(1,15-'Scenario Inputs'!$C$9)))*'Scenario Inputs'!$C$16*'Revenue Model'!E13</x:f>
        <x:v>1500000</x:v>
      </x:c>
      <x:c r="R17" s="200" t="n">
        <x:f>IF(16&lt;='Scenario Inputs'!$C$9,0,INDEX('Scenario Inputs'!$C$43:$AL$43,1,MAX(1,16-'Scenario Inputs'!$C$9)))*'Scenario Inputs'!$C$16*'Revenue Model'!E13</x:f>
        <x:v>1500000</x:v>
      </x:c>
      <x:c r="S17" s="200" t="n">
        <x:f>IF(17&lt;='Scenario Inputs'!$C$9,0,INDEX('Scenario Inputs'!$C$43:$AL$43,1,MAX(1,17-'Scenario Inputs'!$C$9)))*'Scenario Inputs'!$C$16*'Revenue Model'!E13</x:f>
        <x:v>750000</x:v>
      </x:c>
      <x:c r="T17" s="200" t="n">
        <x:f>IF(18&lt;='Scenario Inputs'!$C$9,0,INDEX('Scenario Inputs'!$C$43:$AL$43,1,MAX(1,18-'Scenario Inputs'!$C$9)))*'Scenario Inputs'!$C$16*'Revenue Model'!E13</x:f>
        <x:v>1500000</x:v>
      </x:c>
      <x:c r="U17" s="200" t="n">
        <x:f>IF(19&lt;='Scenario Inputs'!$C$9,0,INDEX('Scenario Inputs'!$C$43:$AL$43,1,MAX(1,19-'Scenario Inputs'!$C$9)))*'Scenario Inputs'!$C$16*'Revenue Model'!E13</x:f>
        <x:v>1500000</x:v>
      </x:c>
      <x:c r="V17" s="200" t="n">
        <x:f>IF(20&lt;='Scenario Inputs'!$C$9,0,INDEX('Scenario Inputs'!$C$43:$AL$43,1,MAX(1,20-'Scenario Inputs'!$C$9)))*'Scenario Inputs'!$C$16*'Revenue Model'!E13</x:f>
        <x:v>750000</x:v>
      </x:c>
      <x:c r="W17" s="200" t="n">
        <x:f>IF(21&lt;='Scenario Inputs'!$C$9,0,INDEX('Scenario Inputs'!$C$43:$AL$43,1,MAX(1,21-'Scenario Inputs'!$C$9)))*'Scenario Inputs'!$C$16*'Revenue Model'!E13</x:f>
        <x:v>1500000</x:v>
      </x:c>
      <x:c r="X17" s="200" t="n">
        <x:f>IF(22&lt;='Scenario Inputs'!$C$9,0,INDEX('Scenario Inputs'!$C$43:$AL$43,1,MAX(1,22-'Scenario Inputs'!$C$9)))*'Scenario Inputs'!$C$16*'Revenue Model'!E13</x:f>
        <x:v>1500000</x:v>
      </x:c>
      <x:c r="Y17" s="200" t="n">
        <x:f>IF(23&lt;='Scenario Inputs'!$C$9,0,INDEX('Scenario Inputs'!$C$43:$AL$43,1,MAX(1,23-'Scenario Inputs'!$C$9)))*'Scenario Inputs'!$C$16*'Revenue Model'!E13</x:f>
        <x:v>750000</x:v>
      </x:c>
      <x:c r="Z17" s="200" t="n">
        <x:f>IF(24&lt;='Scenario Inputs'!$C$9,0,INDEX('Scenario Inputs'!$C$43:$AL$43,1,MAX(1,24-'Scenario Inputs'!$C$9)))*'Scenario Inputs'!$C$16*'Revenue Model'!E13</x:f>
        <x:v>1500000</x:v>
      </x:c>
      <x:c r="AA17" s="200" t="n">
        <x:f>IF(25&lt;='Scenario Inputs'!$C$9,0,INDEX('Scenario Inputs'!$C$43:$AL$43,1,MAX(1,25-'Scenario Inputs'!$C$9)))*'Scenario Inputs'!$C$16*'Revenue Model'!F13</x:f>
        <x:v>5000000</x:v>
      </x:c>
      <x:c r="AB17" s="200" t="n">
        <x:f>IF(26&lt;='Scenario Inputs'!$C$9,0,INDEX('Scenario Inputs'!$C$43:$AL$43,1,MAX(1,26-'Scenario Inputs'!$C$9)))*'Scenario Inputs'!$C$16*'Revenue Model'!F13</x:f>
        <x:v>5000000</x:v>
      </x:c>
      <x:c r="AC17" s="200" t="n">
        <x:f>IF(27&lt;='Scenario Inputs'!$C$9,0,INDEX('Scenario Inputs'!$C$43:$AL$43,1,MAX(1,27-'Scenario Inputs'!$C$9)))*'Scenario Inputs'!$C$16*'Revenue Model'!F13</x:f>
        <x:v>5000000</x:v>
      </x:c>
      <x:c r="AD17" s="200" t="n">
        <x:f>IF(28&lt;='Scenario Inputs'!$C$9,0,INDEX('Scenario Inputs'!$C$43:$AL$43,1,MAX(1,28-'Scenario Inputs'!$C$9)))*'Scenario Inputs'!$C$16*'Revenue Model'!F13</x:f>
        <x:v>5000000</x:v>
      </x:c>
      <x:c r="AE17" s="200" t="n">
        <x:f>IF(29&lt;='Scenario Inputs'!$C$9,0,INDEX('Scenario Inputs'!$C$43:$AL$43,1,MAX(1,29-'Scenario Inputs'!$C$9)))*'Scenario Inputs'!$C$16*'Revenue Model'!F13</x:f>
        <x:v>5000000</x:v>
      </x:c>
      <x:c r="AF17" s="200" t="n">
        <x:f>IF(30&lt;='Scenario Inputs'!$C$9,0,INDEX('Scenario Inputs'!$C$43:$AL$43,1,MAX(1,30-'Scenario Inputs'!$C$9)))*'Scenario Inputs'!$C$16*'Revenue Model'!F13</x:f>
        <x:v>5000000</x:v>
      </x:c>
      <x:c r="AG17" s="200" t="n">
        <x:f>IF(31&lt;='Scenario Inputs'!$C$9,0,INDEX('Scenario Inputs'!$C$43:$AL$43,1,MAX(1,31-'Scenario Inputs'!$C$9)))*'Scenario Inputs'!$C$16*'Revenue Model'!F13</x:f>
        <x:v>5000000</x:v>
      </x:c>
      <x:c r="AH17" s="200" t="n">
        <x:f>IF(32&lt;='Scenario Inputs'!$C$9,0,INDEX('Scenario Inputs'!$C$43:$AL$43,1,MAX(1,32-'Scenario Inputs'!$C$9)))*'Scenario Inputs'!$C$16*'Revenue Model'!F13</x:f>
        <x:v>5000000</x:v>
      </x:c>
      <x:c r="AI17" s="200" t="n">
        <x:f>IF(33&lt;='Scenario Inputs'!$C$9,0,INDEX('Scenario Inputs'!$C$43:$AL$43,1,MAX(1,33-'Scenario Inputs'!$C$9)))*'Scenario Inputs'!$C$16*'Revenue Model'!F13</x:f>
        <x:v>5000000</x:v>
      </x:c>
      <x:c r="AJ17" s="200" t="n">
        <x:f>IF(34&lt;='Scenario Inputs'!$C$9,0,INDEX('Scenario Inputs'!$C$43:$AL$43,1,MAX(1,34-'Scenario Inputs'!$C$9)))*'Scenario Inputs'!$C$16*'Revenue Model'!F13</x:f>
        <x:v>5000000</x:v>
      </x:c>
      <x:c r="AK17" s="200" t="n">
        <x:f>IF(35&lt;='Scenario Inputs'!$C$9,0,INDEX('Scenario Inputs'!$C$43:$AL$43,1,MAX(1,35-'Scenario Inputs'!$C$9)))*'Scenario Inputs'!$C$16*'Revenue Model'!F13</x:f>
        <x:v>5000000</x:v>
      </x:c>
      <x:c r="AL17" s="200" t="n">
        <x:f>IF(36&lt;='Scenario Inputs'!$C$9,0,INDEX('Scenario Inputs'!$C$43:$AL$43,1,MAX(1,36-'Scenario Inputs'!$C$9)))*'Scenario Inputs'!$C$16*'Revenue Model'!F13</x:f>
        <x:v>5000000</x:v>
      </x:c>
    </x:row>
    <x:row r="18" ht="32" customHeight="1">
      <x:c r="B18" s="116" t="str">
        <x:v>Contracted transaction fee revenue</x:v>
      </x:c>
      <x:c r="C18" s="200" t="n">
        <x:f>C17*'Revenue Model'!D14</x:f>
        <x:v>0</x:v>
      </x:c>
      <x:c r="D18" s="200" t="n">
        <x:f>D17*'Revenue Model'!D14</x:f>
        <x:v>0</x:v>
      </x:c>
      <x:c r="E18" s="200" t="n">
        <x:f>E17*'Revenue Model'!D14</x:f>
        <x:v>0</x:v>
      </x:c>
      <x:c r="F18" s="200" t="n">
        <x:f>F17*'Revenue Model'!D14</x:f>
        <x:v>0</x:v>
      </x:c>
      <x:c r="G18" s="200" t="n">
        <x:f>G17*'Revenue Model'!D14</x:f>
        <x:v>0</x:v>
      </x:c>
      <x:c r="H18" s="200" t="n">
        <x:f>H17*'Revenue Model'!D14</x:f>
        <x:v>0</x:v>
      </x:c>
      <x:c r="I18" s="200" t="n">
        <x:f>I17*'Revenue Model'!D14</x:f>
        <x:v>0</x:v>
      </x:c>
      <x:c r="J18" s="200" t="n">
        <x:f>J17*'Revenue Model'!D14</x:f>
        <x:v>0</x:v>
      </x:c>
      <x:c r="K18" s="200" t="n">
        <x:f>K17*'Revenue Model'!D14</x:f>
        <x:v>0</x:v>
      </x:c>
      <x:c r="L18" s="200" t="n">
        <x:f>L17*'Revenue Model'!D14</x:f>
        <x:v>1500</x:v>
      </x:c>
      <x:c r="M18" s="200" t="n">
        <x:f>M17*'Revenue Model'!D14</x:f>
        <x:v>1500</x:v>
      </x:c>
      <x:c r="N18" s="200" t="n">
        <x:f>N17*'Revenue Model'!D14</x:f>
        <x:v>1500</x:v>
      </x:c>
      <x:c r="O18" s="200" t="n">
        <x:f>O17*'Revenue Model'!E14</x:f>
        <x:v>2250</x:v>
      </x:c>
      <x:c r="P18" s="200" t="n">
        <x:f>P17*'Revenue Model'!E14</x:f>
        <x:v>1125</x:v>
      </x:c>
      <x:c r="Q18" s="200" t="n">
        <x:f>Q17*'Revenue Model'!E14</x:f>
        <x:v>2250</x:v>
      </x:c>
      <x:c r="R18" s="200" t="n">
        <x:f>R17*'Revenue Model'!E14</x:f>
        <x:v>2250</x:v>
      </x:c>
      <x:c r="S18" s="200" t="n">
        <x:f>S17*'Revenue Model'!E14</x:f>
        <x:v>1125</x:v>
      </x:c>
      <x:c r="T18" s="200" t="n">
        <x:f>T17*'Revenue Model'!E14</x:f>
        <x:v>2250</x:v>
      </x:c>
      <x:c r="U18" s="200" t="n">
        <x:f>U17*'Revenue Model'!E14</x:f>
        <x:v>2250</x:v>
      </x:c>
      <x:c r="V18" s="200" t="n">
        <x:f>V17*'Revenue Model'!E14</x:f>
        <x:v>1125</x:v>
      </x:c>
      <x:c r="W18" s="200" t="n">
        <x:f>W17*'Revenue Model'!E14</x:f>
        <x:v>2250</x:v>
      </x:c>
      <x:c r="X18" s="200" t="n">
        <x:f>X17*'Revenue Model'!E14</x:f>
        <x:v>2250</x:v>
      </x:c>
      <x:c r="Y18" s="200" t="n">
        <x:f>Y17*'Revenue Model'!E14</x:f>
        <x:v>1125</x:v>
      </x:c>
      <x:c r="Z18" s="200" t="n">
        <x:f>Z17*'Revenue Model'!E14</x:f>
        <x:v>2250</x:v>
      </x:c>
      <x:c r="AA18" s="200" t="n">
        <x:f>AA17*'Revenue Model'!F14</x:f>
        <x:v>7500</x:v>
      </x:c>
      <x:c r="AB18" s="200" t="n">
        <x:f>AB17*'Revenue Model'!F14</x:f>
        <x:v>7500</x:v>
      </x:c>
      <x:c r="AC18" s="200" t="n">
        <x:f>AC17*'Revenue Model'!F14</x:f>
        <x:v>7500</x:v>
      </x:c>
      <x:c r="AD18" s="200" t="n">
        <x:f>AD17*'Revenue Model'!F14</x:f>
        <x:v>7500</x:v>
      </x:c>
      <x:c r="AE18" s="200" t="n">
        <x:f>AE17*'Revenue Model'!F14</x:f>
        <x:v>7500</x:v>
      </x:c>
      <x:c r="AF18" s="200" t="n">
        <x:f>AF17*'Revenue Model'!F14</x:f>
        <x:v>7500</x:v>
      </x:c>
      <x:c r="AG18" s="200" t="n">
        <x:f>AG17*'Revenue Model'!F14</x:f>
        <x:v>7500</x:v>
      </x:c>
      <x:c r="AH18" s="200" t="n">
        <x:f>AH17*'Revenue Model'!F14</x:f>
        <x:v>7500</x:v>
      </x:c>
      <x:c r="AI18" s="200" t="n">
        <x:f>AI17*'Revenue Model'!F14</x:f>
        <x:v>7500</x:v>
      </x:c>
      <x:c r="AJ18" s="200" t="n">
        <x:f>AJ17*'Revenue Model'!F14</x:f>
        <x:v>7500</x:v>
      </x:c>
      <x:c r="AK18" s="200" t="n">
        <x:f>AK17*'Revenue Model'!F14</x:f>
        <x:v>7500</x:v>
      </x:c>
      <x:c r="AL18" s="200" t="n">
        <x:f>AL17*'Revenue Model'!F14</x:f>
        <x:v>7500</x:v>
      </x:c>
    </x:row>
    <x:row r="19" ht="32" customHeight="1">
      <x:c r="B19" s="116" t="str">
        <x:v>Standalone SaaS revenue</x:v>
      </x:c>
      <x:c r="C19" s="200" t="n">
        <x:f>C14*'Revenue Model'!D16</x:f>
        <x:v>0</x:v>
      </x:c>
      <x:c r="D19" s="200" t="n">
        <x:f>D14*'Revenue Model'!D16</x:f>
        <x:v>0</x:v>
      </x:c>
      <x:c r="E19" s="200" t="n">
        <x:f>E14*'Revenue Model'!D16</x:f>
        <x:v>0</x:v>
      </x:c>
      <x:c r="F19" s="200" t="n">
        <x:f>F14*'Revenue Model'!D16</x:f>
        <x:v>0</x:v>
      </x:c>
      <x:c r="G19" s="200" t="n">
        <x:f>G14*'Revenue Model'!D16</x:f>
        <x:v>0</x:v>
      </x:c>
      <x:c r="H19" s="200" t="n">
        <x:f>H14*'Revenue Model'!D16</x:f>
        <x:v>0</x:v>
      </x:c>
      <x:c r="I19" s="200" t="n">
        <x:f>I14*'Revenue Model'!D16</x:f>
        <x:v>990</x:v>
      </x:c>
      <x:c r="J19" s="200" t="n">
        <x:f>J14*'Revenue Model'!D16</x:f>
        <x:v>1980</x:v>
      </x:c>
      <x:c r="K19" s="200" t="n">
        <x:f>K14*'Revenue Model'!D16</x:f>
        <x:v>2970</x:v>
      </x:c>
      <x:c r="L19" s="200" t="n">
        <x:f>L14*'Revenue Model'!D16</x:f>
        <x:v>3960</x:v>
      </x:c>
      <x:c r="M19" s="200" t="n">
        <x:f>M14*'Revenue Model'!D16</x:f>
        <x:v>4950</x:v>
      </x:c>
      <x:c r="N19" s="200" t="n">
        <x:f>N14*'Revenue Model'!D16</x:f>
        <x:v>4950</x:v>
      </x:c>
      <x:c r="O19" s="200" t="n">
        <x:f>O14*'Revenue Model'!E16</x:f>
        <x:v>5940</x:v>
      </x:c>
      <x:c r="P19" s="200" t="n">
        <x:f>P14*'Revenue Model'!E16</x:f>
        <x:v>6930</x:v>
      </x:c>
      <x:c r="Q19" s="200" t="n">
        <x:f>Q14*'Revenue Model'!E16</x:f>
        <x:v>7920</x:v>
      </x:c>
      <x:c r="R19" s="200" t="n">
        <x:f>R14*'Revenue Model'!E16</x:f>
        <x:v>8910</x:v>
      </x:c>
      <x:c r="S19" s="200" t="n">
        <x:f>S14*'Revenue Model'!E16</x:f>
        <x:v>9900</x:v>
      </x:c>
      <x:c r="T19" s="200" t="n">
        <x:f>T14*'Revenue Model'!E16</x:f>
        <x:v>9900</x:v>
      </x:c>
      <x:c r="U19" s="200" t="n">
        <x:f>U14*'Revenue Model'!E16</x:f>
        <x:v>10890</x:v>
      </x:c>
      <x:c r="V19" s="200" t="n">
        <x:f>V14*'Revenue Model'!E16</x:f>
        <x:v>11880</x:v>
      </x:c>
      <x:c r="W19" s="200" t="n">
        <x:f>W14*'Revenue Model'!E16</x:f>
        <x:v>12870</x:v>
      </x:c>
      <x:c r="X19" s="200" t="n">
        <x:f>X14*'Revenue Model'!E16</x:f>
        <x:v>13860</x:v>
      </x:c>
      <x:c r="Y19" s="200" t="n">
        <x:f>Y14*'Revenue Model'!E16</x:f>
        <x:v>14850</x:v>
      </x:c>
      <x:c r="Z19" s="200" t="n">
        <x:f>Z14*'Revenue Model'!E16</x:f>
        <x:v>14850</x:v>
      </x:c>
      <x:c r="AA19" s="200" t="n">
        <x:f>AA14*'Revenue Model'!F16</x:f>
        <x:v>16830</x:v>
      </x:c>
      <x:c r="AB19" s="200" t="n">
        <x:f>AB14*'Revenue Model'!F16</x:f>
        <x:v>18810</x:v>
      </x:c>
      <x:c r="AC19" s="200" t="n">
        <x:f>AC14*'Revenue Model'!F16</x:f>
        <x:v>20790</x:v>
      </x:c>
      <x:c r="AD19" s="200" t="n">
        <x:f>AD14*'Revenue Model'!F16</x:f>
        <x:v>22770</x:v>
      </x:c>
      <x:c r="AE19" s="200" t="n">
        <x:f>AE14*'Revenue Model'!F16</x:f>
        <x:v>24750</x:v>
      </x:c>
      <x:c r="AF19" s="200" t="n">
        <x:f>AF14*'Revenue Model'!F16</x:f>
        <x:v>26730</x:v>
      </x:c>
      <x:c r="AG19" s="200" t="n">
        <x:f>AG14*'Revenue Model'!F16</x:f>
        <x:v>28710</x:v>
      </x:c>
      <x:c r="AH19" s="200" t="n">
        <x:f>AH14*'Revenue Model'!F16</x:f>
        <x:v>30690</x:v>
      </x:c>
      <x:c r="AI19" s="200" t="n">
        <x:f>AI14*'Revenue Model'!F16</x:f>
        <x:v>32670</x:v>
      </x:c>
      <x:c r="AJ19" s="200" t="n">
        <x:f>AJ14*'Revenue Model'!F16</x:f>
        <x:v>34650</x:v>
      </x:c>
      <x:c r="AK19" s="200" t="n">
        <x:f>AK14*'Revenue Model'!F16</x:f>
        <x:v>36630</x:v>
      </x:c>
      <x:c r="AL19" s="200" t="n">
        <x:f>AL14*'Revenue Model'!F16</x:f>
        <x:v>39600</x:v>
      </x:c>
    </x:row>
    <x:row r="20" ht="32" customHeight="1">
      <x:c r="B20" s="116" t="str">
        <x:v>Total revenue</x:v>
      </x:c>
      <x:c r="C20" s="200" t="n">
        <x:f>SUM(C15:C16,C18:C19,C23)</x:f>
        <x:v>0</x:v>
      </x:c>
      <x:c r="D20" s="200" t="n">
        <x:f>SUM(D15:D16,D18:D19,D23)</x:f>
        <x:v>0</x:v>
      </x:c>
      <x:c r="E20" s="200" t="n">
        <x:f>SUM(E15:E16,E18:E19,E23)</x:f>
        <x:v>0</x:v>
      </x:c>
      <x:c r="F20" s="200" t="n">
        <x:f>SUM(F15:F16,F18:F19,F23)</x:f>
        <x:v>0</x:v>
      </x:c>
      <x:c r="G20" s="200" t="n">
        <x:f>SUM(G15:G16,G18:G19,G23)</x:f>
        <x:v>0</x:v>
      </x:c>
      <x:c r="H20" s="200" t="n">
        <x:f>SUM(H15:H16,H18:H19,H23)</x:f>
        <x:v>0</x:v>
      </x:c>
      <x:c r="I20" s="200" t="n">
        <x:f>SUM(I15:I16,I18:I19,I23)</x:f>
        <x:v>18990</x:v>
      </x:c>
      <x:c r="J20" s="200" t="n">
        <x:f>SUM(J15:J16,J18:J19,J23)</x:f>
        <x:v>4980</x:v>
      </x:c>
      <x:c r="K20" s="200" t="n">
        <x:f>SUM(K15:K16,K18:K19,K23)</x:f>
        <x:v>5970</x:v>
      </x:c>
      <x:c r="L20" s="200" t="n">
        <x:f>SUM(L15:L16,L18:L19,L23)</x:f>
        <x:v>26460</x:v>
      </x:c>
      <x:c r="M20" s="200" t="n">
        <x:f>SUM(M15:M16,M18:M19,M23)</x:f>
        <x:v>12450</x:v>
      </x:c>
      <x:c r="N20" s="200" t="n">
        <x:f>SUM(N15:N16,N18:N19,N23)</x:f>
        <x:v>12450</x:v>
      </x:c>
      <x:c r="O20" s="200" t="n">
        <x:f>SUM(O15:O16,O18:O19,O23)</x:f>
        <x:v>16190</x:v>
      </x:c>
      <x:c r="P20" s="200" t="n">
        <x:f>SUM(P15:P16,P18:P19,P23)</x:f>
        <x:v>16055</x:v>
      </x:c>
      <x:c r="Q20" s="200" t="n">
        <x:f>SUM(Q15:Q16,Q18:Q19,Q23)</x:f>
        <x:v>37170</x:v>
      </x:c>
      <x:c r="R20" s="200" t="n">
        <x:f>SUM(R15:R16,R18:R19,R23)</x:f>
        <x:v>23160</x:v>
      </x:c>
      <x:c r="S20" s="200" t="n">
        <x:f>SUM(S15:S16,S18:S19,S23)</x:f>
        <x:v>23025</x:v>
      </x:c>
      <x:c r="T20" s="200" t="n">
        <x:f>SUM(T15:T16,T18:T19,T23)</x:f>
        <x:v>24150</x:v>
      </x:c>
      <x:c r="U20" s="200" t="n">
        <x:f>SUM(U15:U16,U18:U19,U23)</x:f>
        <x:v>25140</x:v>
      </x:c>
      <x:c r="V20" s="200" t="n">
        <x:f>SUM(V15:V16,V18:V19,V23)</x:f>
        <x:v>25005</x:v>
      </x:c>
      <x:c r="W20" s="200" t="n">
        <x:f>SUM(W15:W16,W18:W19,W23)</x:f>
        <x:v>46120</x:v>
      </x:c>
      <x:c r="X20" s="200" t="n">
        <x:f>SUM(X15:X16,X18:X19,X23)</x:f>
        <x:v>32110</x:v>
      </x:c>
      <x:c r="Y20" s="200" t="n">
        <x:f>SUM(Y15:Y16,Y18:Y19,Y23)</x:f>
        <x:v>31975</x:v>
      </x:c>
      <x:c r="Z20" s="200" t="n">
        <x:f>SUM(Z15:Z16,Z18:Z19,Z23)</x:f>
        <x:v>33100</x:v>
      </x:c>
      <x:c r="AA20" s="200" t="n">
        <x:f>SUM(AA15:AA16,AA18:AA19,AA23)</x:f>
        <x:v>44330</x:v>
      </x:c>
      <x:c r="AB20" s="200" t="n">
        <x:f>SUM(AB15:AB16,AB18:AB19,AB23)</x:f>
        <x:v>46310</x:v>
      </x:c>
      <x:c r="AC20" s="200" t="n">
        <x:f>SUM(AC15:AC16,AC18:AC19,AC23)</x:f>
        <x:v>68290</x:v>
      </x:c>
      <x:c r="AD20" s="200" t="n">
        <x:f>SUM(AD15:AD16,AD18:AD19,AD23)</x:f>
        <x:v>55270</x:v>
      </x:c>
      <x:c r="AE20" s="200" t="n">
        <x:f>SUM(AE15:AE16,AE18:AE19,AE23)</x:f>
        <x:v>57250</x:v>
      </x:c>
      <x:c r="AF20" s="200" t="n">
        <x:f>SUM(AF15:AF16,AF18:AF19,AF23)</x:f>
        <x:v>79230</x:v>
      </x:c>
      <x:c r="AG20" s="200" t="n">
        <x:f>SUM(AG15:AG16,AG18:AG19,AG23)</x:f>
        <x:v>66210</x:v>
      </x:c>
      <x:c r="AH20" s="200" t="n">
        <x:f>SUM(AH15:AH16,AH18:AH19,AH23)</x:f>
        <x:v>68190</x:v>
      </x:c>
      <x:c r="AI20" s="200" t="n">
        <x:f>SUM(AI15:AI16,AI18:AI19,AI23)</x:f>
        <x:v>90170</x:v>
      </x:c>
      <x:c r="AJ20" s="200" t="n">
        <x:f>SUM(AJ15:AJ16,AJ18:AJ19,AJ23)</x:f>
        <x:v>77150</x:v>
      </x:c>
      <x:c r="AK20" s="200" t="n">
        <x:f>SUM(AK15:AK16,AK18:AK19,AK23)</x:f>
        <x:v>79130</x:v>
      </x:c>
      <x:c r="AL20" s="200" t="n">
        <x:f>SUM(AL15:AL16,AL18:AL19,AL23)</x:f>
        <x:v>102100</x:v>
      </x:c>
    </x:row>
    <x:row r="21" ht="32" customHeight="1">
      <x:c r="B21" s="116" t="str">
        <x:v>Incremental delivery cost provision</x:v>
      </x:c>
      <x:c r="C21" s="200" t="n">
        <x:f>C20*'Scenario Inputs'!$C$23</x:f>
        <x:v>0</x:v>
      </x:c>
      <x:c r="D21" s="200" t="n">
        <x:f>D20*'Scenario Inputs'!$C$23</x:f>
        <x:v>0</x:v>
      </x:c>
      <x:c r="E21" s="200" t="n">
        <x:f>E20*'Scenario Inputs'!$C$23</x:f>
        <x:v>0</x:v>
      </x:c>
      <x:c r="F21" s="200" t="n">
        <x:f>F20*'Scenario Inputs'!$C$23</x:f>
        <x:v>0</x:v>
      </x:c>
      <x:c r="G21" s="200" t="n">
        <x:f>G20*'Scenario Inputs'!$C$23</x:f>
        <x:v>0</x:v>
      </x:c>
      <x:c r="H21" s="200" t="n">
        <x:f>H20*'Scenario Inputs'!$C$23</x:f>
        <x:v>0</x:v>
      </x:c>
      <x:c r="I21" s="200" t="n">
        <x:f>I20*'Scenario Inputs'!$C$23</x:f>
        <x:v>8545.5</x:v>
      </x:c>
      <x:c r="J21" s="200" t="n">
        <x:f>J20*'Scenario Inputs'!$C$23</x:f>
        <x:v>2241</x:v>
      </x:c>
      <x:c r="K21" s="200" t="n">
        <x:f>K20*'Scenario Inputs'!$C$23</x:f>
        <x:v>2686.5</x:v>
      </x:c>
      <x:c r="L21" s="200" t="n">
        <x:f>L20*'Scenario Inputs'!$C$23</x:f>
        <x:v>11907</x:v>
      </x:c>
      <x:c r="M21" s="200" t="n">
        <x:f>M20*'Scenario Inputs'!$C$23</x:f>
        <x:v>5602.5</x:v>
      </x:c>
      <x:c r="N21" s="200" t="n">
        <x:f>N20*'Scenario Inputs'!$C$23</x:f>
        <x:v>5602.5</x:v>
      </x:c>
      <x:c r="O21" s="200" t="n">
        <x:f>O20*'Scenario Inputs'!$C$24</x:f>
        <x:v>6476</x:v>
      </x:c>
      <x:c r="P21" s="200" t="n">
        <x:f>P20*'Scenario Inputs'!$C$24</x:f>
        <x:v>6422</x:v>
      </x:c>
      <x:c r="Q21" s="200" t="n">
        <x:f>Q20*'Scenario Inputs'!$C$24</x:f>
        <x:v>14868</x:v>
      </x:c>
      <x:c r="R21" s="200" t="n">
        <x:f>R20*'Scenario Inputs'!$C$24</x:f>
        <x:v>9264</x:v>
      </x:c>
      <x:c r="S21" s="200" t="n">
        <x:f>S20*'Scenario Inputs'!$C$24</x:f>
        <x:v>9210</x:v>
      </x:c>
      <x:c r="T21" s="200" t="n">
        <x:f>T20*'Scenario Inputs'!$C$24</x:f>
        <x:v>9660</x:v>
      </x:c>
      <x:c r="U21" s="200" t="n">
        <x:f>U20*'Scenario Inputs'!$C$24</x:f>
        <x:v>10056</x:v>
      </x:c>
      <x:c r="V21" s="200" t="n">
        <x:f>V20*'Scenario Inputs'!$C$24</x:f>
        <x:v>10002</x:v>
      </x:c>
      <x:c r="W21" s="200" t="n">
        <x:f>W20*'Scenario Inputs'!$C$24</x:f>
        <x:v>18448</x:v>
      </x:c>
      <x:c r="X21" s="200" t="n">
        <x:f>X20*'Scenario Inputs'!$C$24</x:f>
        <x:v>12844</x:v>
      </x:c>
      <x:c r="Y21" s="200" t="n">
        <x:f>Y20*'Scenario Inputs'!$C$24</x:f>
        <x:v>12790</x:v>
      </x:c>
      <x:c r="Z21" s="200" t="n">
        <x:f>Z20*'Scenario Inputs'!$C$24</x:f>
        <x:v>13240</x:v>
      </x:c>
      <x:c r="AA21" s="200" t="n">
        <x:f>AA20*'Scenario Inputs'!$C$25</x:f>
        <x:v>15515.499999999998</x:v>
      </x:c>
      <x:c r="AB21" s="200" t="n">
        <x:f>AB20*'Scenario Inputs'!$C$25</x:f>
        <x:v>16208.499999999998</x:v>
      </x:c>
      <x:c r="AC21" s="200" t="n">
        <x:f>AC20*'Scenario Inputs'!$C$25</x:f>
        <x:v>23901.5</x:v>
      </x:c>
      <x:c r="AD21" s="200" t="n">
        <x:f>AD20*'Scenario Inputs'!$C$25</x:f>
        <x:v>19344.5</x:v>
      </x:c>
      <x:c r="AE21" s="200" t="n">
        <x:f>AE20*'Scenario Inputs'!$C$25</x:f>
        <x:v>20037.5</x:v>
      </x:c>
      <x:c r="AF21" s="200" t="n">
        <x:f>AF20*'Scenario Inputs'!$C$25</x:f>
        <x:v>27730.5</x:v>
      </x:c>
      <x:c r="AG21" s="200" t="n">
        <x:f>AG20*'Scenario Inputs'!$C$25</x:f>
        <x:v>23173.5</x:v>
      </x:c>
      <x:c r="AH21" s="200" t="n">
        <x:f>AH20*'Scenario Inputs'!$C$25</x:f>
        <x:v>23866.5</x:v>
      </x:c>
      <x:c r="AI21" s="200" t="n">
        <x:f>AI20*'Scenario Inputs'!$C$25</x:f>
        <x:v>31559.499999999996</x:v>
      </x:c>
      <x:c r="AJ21" s="200" t="n">
        <x:f>AJ20*'Scenario Inputs'!$C$25</x:f>
        <x:v>27002.5</x:v>
      </x:c>
      <x:c r="AK21" s="200" t="n">
        <x:f>AK20*'Scenario Inputs'!$C$25</x:f>
        <x:v>27695.5</x:v>
      </x:c>
      <x:c r="AL21" s="200" t="n">
        <x:f>AL20*'Scenario Inputs'!$C$25</x:f>
        <x:v>35735</x:v>
      </x:c>
    </x:row>
    <x:row r="22" ht="32" customHeight="1">
      <x:c r="B22" s="116" t="str">
        <x:v>Contribution before fixed deployment</x:v>
      </x:c>
      <x:c r="C22" s="200" t="n">
        <x:f>C20-C21</x:f>
        <x:v>0</x:v>
      </x:c>
      <x:c r="D22" s="200" t="n">
        <x:f>D20-D21</x:f>
        <x:v>0</x:v>
      </x:c>
      <x:c r="E22" s="200" t="n">
        <x:f>E20-E21</x:f>
        <x:v>0</x:v>
      </x:c>
      <x:c r="F22" s="200" t="n">
        <x:f>F20-F21</x:f>
        <x:v>0</x:v>
      </x:c>
      <x:c r="G22" s="200" t="n">
        <x:f>G20-G21</x:f>
        <x:v>0</x:v>
      </x:c>
      <x:c r="H22" s="200" t="n">
        <x:f>H20-H21</x:f>
        <x:v>0</x:v>
      </x:c>
      <x:c r="I22" s="200" t="n">
        <x:f>I20-I21</x:f>
        <x:v>10444.5</x:v>
      </x:c>
      <x:c r="J22" s="200" t="n">
        <x:f>J20-J21</x:f>
        <x:v>2739</x:v>
      </x:c>
      <x:c r="K22" s="200" t="n">
        <x:f>K20-K21</x:f>
        <x:v>3283.5</x:v>
      </x:c>
      <x:c r="L22" s="200" t="n">
        <x:f>L20-L21</x:f>
        <x:v>14553</x:v>
      </x:c>
      <x:c r="M22" s="200" t="n">
        <x:f>M20-M21</x:f>
        <x:v>6847.5</x:v>
      </x:c>
      <x:c r="N22" s="200" t="n">
        <x:f>N20-N21</x:f>
        <x:v>6847.5</x:v>
      </x:c>
      <x:c r="O22" s="200" t="n">
        <x:f>O20-O21</x:f>
        <x:v>9714</x:v>
      </x:c>
      <x:c r="P22" s="200" t="n">
        <x:f>P20-P21</x:f>
        <x:v>9633</x:v>
      </x:c>
      <x:c r="Q22" s="200" t="n">
        <x:f>Q20-Q21</x:f>
        <x:v>22302</x:v>
      </x:c>
      <x:c r="R22" s="200" t="n">
        <x:f>R20-R21</x:f>
        <x:v>13896</x:v>
      </x:c>
      <x:c r="S22" s="200" t="n">
        <x:f>S20-S21</x:f>
        <x:v>13815</x:v>
      </x:c>
      <x:c r="T22" s="200" t="n">
        <x:f>T20-T21</x:f>
        <x:v>14490</x:v>
      </x:c>
      <x:c r="U22" s="200" t="n">
        <x:f>U20-U21</x:f>
        <x:v>15084</x:v>
      </x:c>
      <x:c r="V22" s="200" t="n">
        <x:f>V20-V21</x:f>
        <x:v>15003</x:v>
      </x:c>
      <x:c r="W22" s="200" t="n">
        <x:f>W20-W21</x:f>
        <x:v>27672</x:v>
      </x:c>
      <x:c r="X22" s="200" t="n">
        <x:f>X20-X21</x:f>
        <x:v>19266</x:v>
      </x:c>
      <x:c r="Y22" s="200" t="n">
        <x:f>Y20-Y21</x:f>
        <x:v>19185</x:v>
      </x:c>
      <x:c r="Z22" s="200" t="n">
        <x:f>Z20-Z21</x:f>
        <x:v>19860</x:v>
      </x:c>
      <x:c r="AA22" s="200" t="n">
        <x:f>AA20-AA21</x:f>
        <x:v>28814.5</x:v>
      </x:c>
      <x:c r="AB22" s="200" t="n">
        <x:f>AB20-AB21</x:f>
        <x:v>30101.5</x:v>
      </x:c>
      <x:c r="AC22" s="200" t="n">
        <x:f>AC20-AC21</x:f>
        <x:v>44388.5</x:v>
      </x:c>
      <x:c r="AD22" s="200" t="n">
        <x:f>AD20-AD21</x:f>
        <x:v>35925.5</x:v>
      </x:c>
      <x:c r="AE22" s="200" t="n">
        <x:f>AE20-AE21</x:f>
        <x:v>37212.5</x:v>
      </x:c>
      <x:c r="AF22" s="200" t="n">
        <x:f>AF20-AF21</x:f>
        <x:v>51499.5</x:v>
      </x:c>
      <x:c r="AG22" s="200" t="n">
        <x:f>AG20-AG21</x:f>
        <x:v>43036.5</x:v>
      </x:c>
      <x:c r="AH22" s="200" t="n">
        <x:f>AH20-AH21</x:f>
        <x:v>44323.5</x:v>
      </x:c>
      <x:c r="AI22" s="200" t="n">
        <x:f>AI20-AI21</x:f>
        <x:v>58610.5</x:v>
      </x:c>
      <x:c r="AJ22" s="200" t="n">
        <x:f>AJ20-AJ21</x:f>
        <x:v>50147.5</x:v>
      </x:c>
      <x:c r="AK22" s="200" t="n">
        <x:f>AK20-AK21</x:f>
        <x:v>51434.5</x:v>
      </x:c>
      <x:c r="AL22" s="200" t="n">
        <x:f>AL20-AL21</x:f>
        <x:v>66365</x:v>
      </x:c>
    </x:row>
    <x:row r="23" ht="32" customHeight="1">
      <x:c r="B23" s="116" t="str">
        <x:v>Module test revenue (upside only)</x:v>
      </x:c>
      <x:c r="C23" s="200" t="n">
        <x:f>IF(AND('Scenario Inputs'!$C$13=1,1&gt;=19+'Scenario Inputs'!$C$9),'Revenue Model'!D17*'Revenue Model'!D18*'Revenue Model'!D19,0)</x:f>
        <x:v>0</x:v>
      </x:c>
      <x:c r="D23" s="200" t="n">
        <x:f>IF(AND('Scenario Inputs'!$C$13=1,2&gt;=19+'Scenario Inputs'!$C$9),'Revenue Model'!D17*'Revenue Model'!D18*'Revenue Model'!D19,0)</x:f>
        <x:v>0</x:v>
      </x:c>
      <x:c r="E23" s="200" t="n">
        <x:f>IF(AND('Scenario Inputs'!$C$13=1,3&gt;=19+'Scenario Inputs'!$C$9),'Revenue Model'!D17*'Revenue Model'!D18*'Revenue Model'!D19,0)</x:f>
        <x:v>0</x:v>
      </x:c>
      <x:c r="F23" s="200" t="n">
        <x:f>IF(AND('Scenario Inputs'!$C$13=1,4&gt;=19+'Scenario Inputs'!$C$9),'Revenue Model'!D17*'Revenue Model'!D18*'Revenue Model'!D19,0)</x:f>
        <x:v>0</x:v>
      </x:c>
      <x:c r="G23" s="200" t="n">
        <x:f>IF(AND('Scenario Inputs'!$C$13=1,5&gt;=19+'Scenario Inputs'!$C$9),'Revenue Model'!D17*'Revenue Model'!D18*'Revenue Model'!D19,0)</x:f>
        <x:v>0</x:v>
      </x:c>
      <x:c r="H23" s="200" t="n">
        <x:f>IF(AND('Scenario Inputs'!$C$13=1,6&gt;=19+'Scenario Inputs'!$C$9),'Revenue Model'!D17*'Revenue Model'!D18*'Revenue Model'!D19,0)</x:f>
        <x:v>0</x:v>
      </x:c>
      <x:c r="I23" s="200" t="n">
        <x:f>IF(AND('Scenario Inputs'!$C$13=1,7&gt;=19+'Scenario Inputs'!$C$9),'Revenue Model'!D17*'Revenue Model'!D18*'Revenue Model'!D19,0)</x:f>
        <x:v>0</x:v>
      </x:c>
      <x:c r="J23" s="200" t="n">
        <x:f>IF(AND('Scenario Inputs'!$C$13=1,8&gt;=19+'Scenario Inputs'!$C$9),'Revenue Model'!D17*'Revenue Model'!D18*'Revenue Model'!D19,0)</x:f>
        <x:v>0</x:v>
      </x:c>
      <x:c r="K23" s="200" t="n">
        <x:f>IF(AND('Scenario Inputs'!$C$13=1,9&gt;=19+'Scenario Inputs'!$C$9),'Revenue Model'!D17*'Revenue Model'!D18*'Revenue Model'!D19,0)</x:f>
        <x:v>0</x:v>
      </x:c>
      <x:c r="L23" s="200" t="n">
        <x:f>IF(AND('Scenario Inputs'!$C$13=1,10&gt;=19+'Scenario Inputs'!$C$9),'Revenue Model'!D17*'Revenue Model'!D18*'Revenue Model'!D19,0)</x:f>
        <x:v>0</x:v>
      </x:c>
      <x:c r="M23" s="200" t="n">
        <x:f>IF(AND('Scenario Inputs'!$C$13=1,11&gt;=19+'Scenario Inputs'!$C$9),'Revenue Model'!D17*'Revenue Model'!D18*'Revenue Model'!D19,0)</x:f>
        <x:v>0</x:v>
      </x:c>
      <x:c r="N23" s="200" t="n">
        <x:f>IF(AND('Scenario Inputs'!$C$13=1,12&gt;=19+'Scenario Inputs'!$C$9),'Revenue Model'!D17*'Revenue Model'!D18*'Revenue Model'!D19,0)</x:f>
        <x:v>0</x:v>
      </x:c>
      <x:c r="O23" s="200" t="n">
        <x:f>IF(AND('Scenario Inputs'!$C$13=1,13&gt;=19+'Scenario Inputs'!$C$9),'Revenue Model'!E17*'Revenue Model'!E18*'Revenue Model'!E19,0)</x:f>
        <x:v>0</x:v>
      </x:c>
      <x:c r="P23" s="200" t="n">
        <x:f>IF(AND('Scenario Inputs'!$C$13=1,14&gt;=19+'Scenario Inputs'!$C$9),'Revenue Model'!E17*'Revenue Model'!E18*'Revenue Model'!E19,0)</x:f>
        <x:v>0</x:v>
      </x:c>
      <x:c r="Q23" s="200" t="n">
        <x:f>IF(AND('Scenario Inputs'!$C$13=1,15&gt;=19+'Scenario Inputs'!$C$9),'Revenue Model'!E17*'Revenue Model'!E18*'Revenue Model'!E19,0)</x:f>
        <x:v>0</x:v>
      </x:c>
      <x:c r="R23" s="200" t="n">
        <x:f>IF(AND('Scenario Inputs'!$C$13=1,16&gt;=19+'Scenario Inputs'!$C$9),'Revenue Model'!E17*'Revenue Model'!E18*'Revenue Model'!E19,0)</x:f>
        <x:v>0</x:v>
      </x:c>
      <x:c r="S23" s="200" t="n">
        <x:f>IF(AND('Scenario Inputs'!$C$13=1,17&gt;=19+'Scenario Inputs'!$C$9),'Revenue Model'!E17*'Revenue Model'!E18*'Revenue Model'!E19,0)</x:f>
        <x:v>0</x:v>
      </x:c>
      <x:c r="T23" s="200" t="n">
        <x:f>IF(AND('Scenario Inputs'!$C$13=1,18&gt;=19+'Scenario Inputs'!$C$9),'Revenue Model'!E17*'Revenue Model'!E18*'Revenue Model'!E19,0)</x:f>
        <x:v>0</x:v>
      </x:c>
      <x:c r="U23" s="200" t="n">
        <x:f>IF(AND('Scenario Inputs'!$C$13=1,19&gt;=19+'Scenario Inputs'!$C$9),'Revenue Model'!E17*'Revenue Model'!E18*'Revenue Model'!E19,0)</x:f>
        <x:v>0</x:v>
      </x:c>
      <x:c r="V23" s="200" t="n">
        <x:f>IF(AND('Scenario Inputs'!$C$13=1,20&gt;=19+'Scenario Inputs'!$C$9),'Revenue Model'!E17*'Revenue Model'!E18*'Revenue Model'!E19,0)</x:f>
        <x:v>0</x:v>
      </x:c>
      <x:c r="W23" s="200" t="n">
        <x:f>IF(AND('Scenario Inputs'!$C$13=1,21&gt;=19+'Scenario Inputs'!$C$9),'Revenue Model'!E17*'Revenue Model'!E18*'Revenue Model'!E19,0)</x:f>
        <x:v>0</x:v>
      </x:c>
      <x:c r="X23" s="200" t="n">
        <x:f>IF(AND('Scenario Inputs'!$C$13=1,22&gt;=19+'Scenario Inputs'!$C$9),'Revenue Model'!E17*'Revenue Model'!E18*'Revenue Model'!E19,0)</x:f>
        <x:v>0</x:v>
      </x:c>
      <x:c r="Y23" s="200" t="n">
        <x:f>IF(AND('Scenario Inputs'!$C$13=1,23&gt;=19+'Scenario Inputs'!$C$9),'Revenue Model'!E17*'Revenue Model'!E18*'Revenue Model'!E19,0)</x:f>
        <x:v>0</x:v>
      </x:c>
      <x:c r="Z23" s="200" t="n">
        <x:f>IF(AND('Scenario Inputs'!$C$13=1,24&gt;=19+'Scenario Inputs'!$C$9),'Revenue Model'!E17*'Revenue Model'!E18*'Revenue Model'!E19,0)</x:f>
        <x:v>0</x:v>
      </x:c>
      <x:c r="AA23" s="200" t="n">
        <x:f>IF(AND('Scenario Inputs'!$C$13=1,25&gt;=19+'Scenario Inputs'!$C$9),'Revenue Model'!F17*'Revenue Model'!F18*'Revenue Model'!F19,0)</x:f>
        <x:v>0</x:v>
      </x:c>
      <x:c r="AB23" s="200" t="n">
        <x:f>IF(AND('Scenario Inputs'!$C$13=1,26&gt;=19+'Scenario Inputs'!$C$9),'Revenue Model'!F17*'Revenue Model'!F18*'Revenue Model'!F19,0)</x:f>
        <x:v>0</x:v>
      </x:c>
      <x:c r="AC23" s="200" t="n">
        <x:f>IF(AND('Scenario Inputs'!$C$13=1,27&gt;=19+'Scenario Inputs'!$C$9),'Revenue Model'!F17*'Revenue Model'!F18*'Revenue Model'!F19,0)</x:f>
        <x:v>0</x:v>
      </x:c>
      <x:c r="AD23" s="200" t="n">
        <x:f>IF(AND('Scenario Inputs'!$C$13=1,28&gt;=19+'Scenario Inputs'!$C$9),'Revenue Model'!F17*'Revenue Model'!F18*'Revenue Model'!F19,0)</x:f>
        <x:v>0</x:v>
      </x:c>
      <x:c r="AE23" s="200" t="n">
        <x:f>IF(AND('Scenario Inputs'!$C$13=1,29&gt;=19+'Scenario Inputs'!$C$9),'Revenue Model'!F17*'Revenue Model'!F18*'Revenue Model'!F19,0)</x:f>
        <x:v>0</x:v>
      </x:c>
      <x:c r="AF23" s="200" t="n">
        <x:f>IF(AND('Scenario Inputs'!$C$13=1,30&gt;=19+'Scenario Inputs'!$C$9),'Revenue Model'!F17*'Revenue Model'!F18*'Revenue Model'!F19,0)</x:f>
        <x:v>0</x:v>
      </x:c>
      <x:c r="AG23" s="200" t="n">
        <x:f>IF(AND('Scenario Inputs'!$C$13=1,31&gt;=19+'Scenario Inputs'!$C$9),'Revenue Model'!F17*'Revenue Model'!F18*'Revenue Model'!F19,0)</x:f>
        <x:v>0</x:v>
      </x:c>
      <x:c r="AH23" s="200" t="n">
        <x:f>IF(AND('Scenario Inputs'!$C$13=1,32&gt;=19+'Scenario Inputs'!$C$9),'Revenue Model'!F17*'Revenue Model'!F18*'Revenue Model'!F19,0)</x:f>
        <x:v>0</x:v>
      </x:c>
      <x:c r="AI23" s="200" t="n">
        <x:f>IF(AND('Scenario Inputs'!$C$13=1,33&gt;=19+'Scenario Inputs'!$C$9),'Revenue Model'!F17*'Revenue Model'!F18*'Revenue Model'!F19,0)</x:f>
        <x:v>0</x:v>
      </x:c>
      <x:c r="AJ23" s="200" t="n">
        <x:f>IF(AND('Scenario Inputs'!$C$13=1,34&gt;=19+'Scenario Inputs'!$C$9),'Revenue Model'!F17*'Revenue Model'!F18*'Revenue Model'!F19,0)</x:f>
        <x:v>0</x:v>
      </x:c>
      <x:c r="AK23" s="200" t="n">
        <x:f>IF(AND('Scenario Inputs'!$C$13=1,35&gt;=19+'Scenario Inputs'!$C$9),'Revenue Model'!F17*'Revenue Model'!F18*'Revenue Model'!F19,0)</x:f>
        <x:v>0</x:v>
      </x:c>
      <x:c r="AL23" s="200" t="n">
        <x:f>IF(AND('Scenario Inputs'!$C$13=1,36&gt;=19+'Scenario Inputs'!$C$9),'Revenue Model'!F17*'Revenue Model'!F18*'Revenue Model'!F19,0)</x:f>
        <x:v>0</x:v>
      </x:c>
    </x:row>
    <x:row r="24" ht="32" customHeight="1">
      <x:c r="B24" s="116" t="str">
        <x:v>Collection loss provision</x:v>
      </x:c>
      <x:c r="C24" s="200" t="n">
        <x:f>C20*'Scenario Inputs'!$C$12</x:f>
        <x:v>0</x:v>
      </x:c>
      <x:c r="D24" s="200" t="n">
        <x:f>D20*'Scenario Inputs'!$C$12</x:f>
        <x:v>0</x:v>
      </x:c>
      <x:c r="E24" s="200" t="n">
        <x:f>E20*'Scenario Inputs'!$C$12</x:f>
        <x:v>0</x:v>
      </x:c>
      <x:c r="F24" s="200" t="n">
        <x:f>F20*'Scenario Inputs'!$C$12</x:f>
        <x:v>0</x:v>
      </x:c>
      <x:c r="G24" s="200" t="n">
        <x:f>G20*'Scenario Inputs'!$C$12</x:f>
        <x:v>0</x:v>
      </x:c>
      <x:c r="H24" s="200" t="n">
        <x:f>H20*'Scenario Inputs'!$C$12</x:f>
        <x:v>0</x:v>
      </x:c>
      <x:c r="I24" s="200" t="n">
        <x:f>I20*'Scenario Inputs'!$C$12</x:f>
        <x:v>0</x:v>
      </x:c>
      <x:c r="J24" s="200" t="n">
        <x:f>J20*'Scenario Inputs'!$C$12</x:f>
        <x:v>0</x:v>
      </x:c>
      <x:c r="K24" s="200" t="n">
        <x:f>K20*'Scenario Inputs'!$C$12</x:f>
        <x:v>0</x:v>
      </x:c>
      <x:c r="L24" s="200" t="n">
        <x:f>L20*'Scenario Inputs'!$C$12</x:f>
        <x:v>0</x:v>
      </x:c>
      <x:c r="M24" s="200" t="n">
        <x:f>M20*'Scenario Inputs'!$C$12</x:f>
        <x:v>0</x:v>
      </x:c>
      <x:c r="N24" s="200" t="n">
        <x:f>N20*'Scenario Inputs'!$C$12</x:f>
        <x:v>0</x:v>
      </x:c>
      <x:c r="O24" s="200" t="n">
        <x:f>O20*'Scenario Inputs'!$C$12</x:f>
        <x:v>0</x:v>
      </x:c>
      <x:c r="P24" s="200" t="n">
        <x:f>P20*'Scenario Inputs'!$C$12</x:f>
        <x:v>0</x:v>
      </x:c>
      <x:c r="Q24" s="200" t="n">
        <x:f>Q20*'Scenario Inputs'!$C$12</x:f>
        <x:v>0</x:v>
      </x:c>
      <x:c r="R24" s="200" t="n">
        <x:f>R20*'Scenario Inputs'!$C$12</x:f>
        <x:v>0</x:v>
      </x:c>
      <x:c r="S24" s="200" t="n">
        <x:f>S20*'Scenario Inputs'!$C$12</x:f>
        <x:v>0</x:v>
      </x:c>
      <x:c r="T24" s="200" t="n">
        <x:f>T20*'Scenario Inputs'!$C$12</x:f>
        <x:v>0</x:v>
      </x:c>
      <x:c r="U24" s="200" t="n">
        <x:f>U20*'Scenario Inputs'!$C$12</x:f>
        <x:v>0</x:v>
      </x:c>
      <x:c r="V24" s="200" t="n">
        <x:f>V20*'Scenario Inputs'!$C$12</x:f>
        <x:v>0</x:v>
      </x:c>
      <x:c r="W24" s="200" t="n">
        <x:f>W20*'Scenario Inputs'!$C$12</x:f>
        <x:v>0</x:v>
      </x:c>
      <x:c r="X24" s="200" t="n">
        <x:f>X20*'Scenario Inputs'!$C$12</x:f>
        <x:v>0</x:v>
      </x:c>
      <x:c r="Y24" s="200" t="n">
        <x:f>Y20*'Scenario Inputs'!$C$12</x:f>
        <x:v>0</x:v>
      </x:c>
      <x:c r="Z24" s="200" t="n">
        <x:f>Z20*'Scenario Inputs'!$C$12</x:f>
        <x:v>0</x:v>
      </x:c>
      <x:c r="AA24" s="200" t="n">
        <x:f>AA20*'Scenario Inputs'!$C$12</x:f>
        <x:v>0</x:v>
      </x:c>
      <x:c r="AB24" s="200" t="n">
        <x:f>AB20*'Scenario Inputs'!$C$12</x:f>
        <x:v>0</x:v>
      </x:c>
      <x:c r="AC24" s="200" t="n">
        <x:f>AC20*'Scenario Inputs'!$C$12</x:f>
        <x:v>0</x:v>
      </x:c>
      <x:c r="AD24" s="200" t="n">
        <x:f>AD20*'Scenario Inputs'!$C$12</x:f>
        <x:v>0</x:v>
      </x:c>
      <x:c r="AE24" s="200" t="n">
        <x:f>AE20*'Scenario Inputs'!$C$12</x:f>
        <x:v>0</x:v>
      </x:c>
      <x:c r="AF24" s="200" t="n">
        <x:f>AF20*'Scenario Inputs'!$C$12</x:f>
        <x:v>0</x:v>
      </x:c>
      <x:c r="AG24" s="200" t="n">
        <x:f>AG20*'Scenario Inputs'!$C$12</x:f>
        <x:v>0</x:v>
      </x:c>
      <x:c r="AH24" s="200" t="n">
        <x:f>AH20*'Scenario Inputs'!$C$12</x:f>
        <x:v>0</x:v>
      </x:c>
      <x:c r="AI24" s="200" t="n">
        <x:f>AI20*'Scenario Inputs'!$C$12</x:f>
        <x:v>0</x:v>
      </x:c>
      <x:c r="AJ24" s="200" t="n">
        <x:f>AJ20*'Scenario Inputs'!$C$12</x:f>
        <x:v>0</x:v>
      </x:c>
      <x:c r="AK24" s="200" t="n">
        <x:f>AK20*'Scenario Inputs'!$C$12</x:f>
        <x:v>0</x:v>
      </x:c>
      <x:c r="AL24" s="200" t="n">
        <x:f>AL20*'Scenario Inputs'!$C$12</x:f>
        <x:v>0</x:v>
      </x:c>
    </x:row>
    <x:row r="25" ht="32" customHeight="1">
      <x:c r="B25" s="116" t="str">
        <x:v>Customer cash collected</x:v>
      </x:c>
      <x:c r="C25" s="200" t="n">
        <x:f>IF(1&lt;='Scenario Inputs'!$C$11,0,INDEX($C$27:$AL$27,1,MAX(1,1-'Scenario Inputs'!$C$11)))</x:f>
        <x:v>0</x:v>
      </x:c>
      <x:c r="D25" s="200" t="n">
        <x:f>IF(2&lt;='Scenario Inputs'!$C$11,0,INDEX($C$27:$AL$27,1,MAX(1,2-'Scenario Inputs'!$C$11)))</x:f>
        <x:v>0</x:v>
      </x:c>
      <x:c r="E25" s="200" t="n">
        <x:f>IF(3&lt;='Scenario Inputs'!$C$11,0,INDEX($C$27:$AL$27,1,MAX(1,3-'Scenario Inputs'!$C$11)))</x:f>
        <x:v>0</x:v>
      </x:c>
      <x:c r="F25" s="200" t="n">
        <x:f>IF(4&lt;='Scenario Inputs'!$C$11,0,INDEX($C$27:$AL$27,1,MAX(1,4-'Scenario Inputs'!$C$11)))</x:f>
        <x:v>0</x:v>
      </x:c>
      <x:c r="G25" s="200" t="n">
        <x:f>IF(5&lt;='Scenario Inputs'!$C$11,0,INDEX($C$27:$AL$27,1,MAX(1,5-'Scenario Inputs'!$C$11)))</x:f>
        <x:v>0</x:v>
      </x:c>
      <x:c r="H25" s="200" t="n">
        <x:f>IF(6&lt;='Scenario Inputs'!$C$11,0,INDEX($C$27:$AL$27,1,MAX(1,6-'Scenario Inputs'!$C$11)))</x:f>
        <x:v>0</x:v>
      </x:c>
      <x:c r="I25" s="200" t="n">
        <x:f>IF(7&lt;='Scenario Inputs'!$C$11,0,INDEX($C$27:$AL$27,1,MAX(1,7-'Scenario Inputs'!$C$11)))</x:f>
        <x:v>0</x:v>
      </x:c>
      <x:c r="J25" s="200" t="n">
        <x:f>IF(8&lt;='Scenario Inputs'!$C$11,0,INDEX($C$27:$AL$27,1,MAX(1,8-'Scenario Inputs'!$C$11)))</x:f>
        <x:v>18990</x:v>
      </x:c>
      <x:c r="K25" s="200" t="n">
        <x:f>IF(9&lt;='Scenario Inputs'!$C$11,0,INDEX($C$27:$AL$27,1,MAX(1,9-'Scenario Inputs'!$C$11)))</x:f>
        <x:v>4980</x:v>
      </x:c>
      <x:c r="L25" s="200" t="n">
        <x:f>IF(10&lt;='Scenario Inputs'!$C$11,0,INDEX($C$27:$AL$27,1,MAX(1,10-'Scenario Inputs'!$C$11)))</x:f>
        <x:v>5970</x:v>
      </x:c>
      <x:c r="M25" s="200" t="n">
        <x:f>IF(11&lt;='Scenario Inputs'!$C$11,0,INDEX($C$27:$AL$27,1,MAX(1,11-'Scenario Inputs'!$C$11)))</x:f>
        <x:v>26460</x:v>
      </x:c>
      <x:c r="N25" s="200" t="n">
        <x:f>IF(12&lt;='Scenario Inputs'!$C$11,0,INDEX($C$27:$AL$27,1,MAX(1,12-'Scenario Inputs'!$C$11)))</x:f>
        <x:v>12450</x:v>
      </x:c>
      <x:c r="O25" s="200" t="n">
        <x:f>IF(13&lt;='Scenario Inputs'!$C$11,0,INDEX($C$27:$AL$27,1,MAX(1,13-'Scenario Inputs'!$C$11)))</x:f>
        <x:v>12450</x:v>
      </x:c>
      <x:c r="P25" s="200" t="n">
        <x:f>IF(14&lt;='Scenario Inputs'!$C$11,0,INDEX($C$27:$AL$27,1,MAX(1,14-'Scenario Inputs'!$C$11)))</x:f>
        <x:v>16190</x:v>
      </x:c>
      <x:c r="Q25" s="200" t="n">
        <x:f>IF(15&lt;='Scenario Inputs'!$C$11,0,INDEX($C$27:$AL$27,1,MAX(1,15-'Scenario Inputs'!$C$11)))</x:f>
        <x:v>16055</x:v>
      </x:c>
      <x:c r="R25" s="200" t="n">
        <x:f>IF(16&lt;='Scenario Inputs'!$C$11,0,INDEX($C$27:$AL$27,1,MAX(1,16-'Scenario Inputs'!$C$11)))</x:f>
        <x:v>37170</x:v>
      </x:c>
      <x:c r="S25" s="200" t="n">
        <x:f>IF(17&lt;='Scenario Inputs'!$C$11,0,INDEX($C$27:$AL$27,1,MAX(1,17-'Scenario Inputs'!$C$11)))</x:f>
        <x:v>23160</x:v>
      </x:c>
      <x:c r="T25" s="200" t="n">
        <x:f>IF(18&lt;='Scenario Inputs'!$C$11,0,INDEX($C$27:$AL$27,1,MAX(1,18-'Scenario Inputs'!$C$11)))</x:f>
        <x:v>23025</x:v>
      </x:c>
      <x:c r="U25" s="200" t="n">
        <x:f>IF(19&lt;='Scenario Inputs'!$C$11,0,INDEX($C$27:$AL$27,1,MAX(1,19-'Scenario Inputs'!$C$11)))</x:f>
        <x:v>24150</x:v>
      </x:c>
      <x:c r="V25" s="200" t="n">
        <x:f>IF(20&lt;='Scenario Inputs'!$C$11,0,INDEX($C$27:$AL$27,1,MAX(1,20-'Scenario Inputs'!$C$11)))</x:f>
        <x:v>25140</x:v>
      </x:c>
      <x:c r="W25" s="200" t="n">
        <x:f>IF(21&lt;='Scenario Inputs'!$C$11,0,INDEX($C$27:$AL$27,1,MAX(1,21-'Scenario Inputs'!$C$11)))</x:f>
        <x:v>25005</x:v>
      </x:c>
      <x:c r="X25" s="200" t="n">
        <x:f>IF(22&lt;='Scenario Inputs'!$C$11,0,INDEX($C$27:$AL$27,1,MAX(1,22-'Scenario Inputs'!$C$11)))</x:f>
        <x:v>46120</x:v>
      </x:c>
      <x:c r="Y25" s="200" t="n">
        <x:f>IF(23&lt;='Scenario Inputs'!$C$11,0,INDEX($C$27:$AL$27,1,MAX(1,23-'Scenario Inputs'!$C$11)))</x:f>
        <x:v>32110</x:v>
      </x:c>
      <x:c r="Z25" s="200" t="n">
        <x:f>IF(24&lt;='Scenario Inputs'!$C$11,0,INDEX($C$27:$AL$27,1,MAX(1,24-'Scenario Inputs'!$C$11)))</x:f>
        <x:v>31975</x:v>
      </x:c>
      <x:c r="AA25" s="200" t="n">
        <x:f>IF(25&lt;='Scenario Inputs'!$C$11,0,INDEX($C$27:$AL$27,1,MAX(1,25-'Scenario Inputs'!$C$11)))</x:f>
        <x:v>33100</x:v>
      </x:c>
      <x:c r="AB25" s="200" t="n">
        <x:f>IF(26&lt;='Scenario Inputs'!$C$11,0,INDEX($C$27:$AL$27,1,MAX(1,26-'Scenario Inputs'!$C$11)))</x:f>
        <x:v>44330</x:v>
      </x:c>
      <x:c r="AC25" s="200" t="n">
        <x:f>IF(27&lt;='Scenario Inputs'!$C$11,0,INDEX($C$27:$AL$27,1,MAX(1,27-'Scenario Inputs'!$C$11)))</x:f>
        <x:v>46310</x:v>
      </x:c>
      <x:c r="AD25" s="200" t="n">
        <x:f>IF(28&lt;='Scenario Inputs'!$C$11,0,INDEX($C$27:$AL$27,1,MAX(1,28-'Scenario Inputs'!$C$11)))</x:f>
        <x:v>68290</x:v>
      </x:c>
      <x:c r="AE25" s="200" t="n">
        <x:f>IF(29&lt;='Scenario Inputs'!$C$11,0,INDEX($C$27:$AL$27,1,MAX(1,29-'Scenario Inputs'!$C$11)))</x:f>
        <x:v>55270</x:v>
      </x:c>
      <x:c r="AF25" s="200" t="n">
        <x:f>IF(30&lt;='Scenario Inputs'!$C$11,0,INDEX($C$27:$AL$27,1,MAX(1,30-'Scenario Inputs'!$C$11)))</x:f>
        <x:v>57250</x:v>
      </x:c>
      <x:c r="AG25" s="200" t="n">
        <x:f>IF(31&lt;='Scenario Inputs'!$C$11,0,INDEX($C$27:$AL$27,1,MAX(1,31-'Scenario Inputs'!$C$11)))</x:f>
        <x:v>79230</x:v>
      </x:c>
      <x:c r="AH25" s="200" t="n">
        <x:f>IF(32&lt;='Scenario Inputs'!$C$11,0,INDEX($C$27:$AL$27,1,MAX(1,32-'Scenario Inputs'!$C$11)))</x:f>
        <x:v>66210</x:v>
      </x:c>
      <x:c r="AI25" s="200" t="n">
        <x:f>IF(33&lt;='Scenario Inputs'!$C$11,0,INDEX($C$27:$AL$27,1,MAX(1,33-'Scenario Inputs'!$C$11)))</x:f>
        <x:v>68190</x:v>
      </x:c>
      <x:c r="AJ25" s="200" t="n">
        <x:f>IF(34&lt;='Scenario Inputs'!$C$11,0,INDEX($C$27:$AL$27,1,MAX(1,34-'Scenario Inputs'!$C$11)))</x:f>
        <x:v>90170</x:v>
      </x:c>
      <x:c r="AK25" s="200" t="n">
        <x:f>IF(35&lt;='Scenario Inputs'!$C$11,0,INDEX($C$27:$AL$27,1,MAX(1,35-'Scenario Inputs'!$C$11)))</x:f>
        <x:v>77150</x:v>
      </x:c>
      <x:c r="AL25" s="200" t="n">
        <x:f>IF(36&lt;='Scenario Inputs'!$C$11,0,INDEX($C$27:$AL$27,1,MAX(1,36-'Scenario Inputs'!$C$11)))</x:f>
        <x:v>79130</x:v>
      </x:c>
    </x:row>
    <x:row r="26" ht="32" customHeight="1">
      <x:c r="B26" s="116" t="str">
        <x:v>Uncollected / collectible balance</x:v>
      </x:c>
      <x:c r="C26" s="200" t="n">
        <x:f>0+C27-C25</x:f>
        <x:v>0</x:v>
      </x:c>
      <x:c r="D26" s="200" t="n">
        <x:f>C26+D27-D25</x:f>
        <x:v>0</x:v>
      </x:c>
      <x:c r="E26" s="200" t="n">
        <x:f>D26+E27-E25</x:f>
        <x:v>0</x:v>
      </x:c>
      <x:c r="F26" s="200" t="n">
        <x:f>E26+F27-F25</x:f>
        <x:v>0</x:v>
      </x:c>
      <x:c r="G26" s="200" t="n">
        <x:f>F26+G27-G25</x:f>
        <x:v>0</x:v>
      </x:c>
      <x:c r="H26" s="200" t="n">
        <x:f>G26+H27-H25</x:f>
        <x:v>0</x:v>
      </x:c>
      <x:c r="I26" s="200" t="n">
        <x:f>H26+I27-I25</x:f>
        <x:v>18990</x:v>
      </x:c>
      <x:c r="J26" s="200" t="n">
        <x:f>I26+J27-J25</x:f>
        <x:v>4980</x:v>
      </x:c>
      <x:c r="K26" s="200" t="n">
        <x:f>J26+K27-K25</x:f>
        <x:v>5970</x:v>
      </x:c>
      <x:c r="L26" s="200" t="n">
        <x:f>K26+L27-L25</x:f>
        <x:v>26460</x:v>
      </x:c>
      <x:c r="M26" s="200" t="n">
        <x:f>L26+M27-M25</x:f>
        <x:v>12450</x:v>
      </x:c>
      <x:c r="N26" s="200" t="n">
        <x:f>M26+N27-N25</x:f>
        <x:v>12450</x:v>
      </x:c>
      <x:c r="O26" s="200" t="n">
        <x:f>N26+O27-O25</x:f>
        <x:v>16190</x:v>
      </x:c>
      <x:c r="P26" s="200" t="n">
        <x:f>O26+P27-P25</x:f>
        <x:v>16055</x:v>
      </x:c>
      <x:c r="Q26" s="200" t="n">
        <x:f>P26+Q27-Q25</x:f>
        <x:v>37170</x:v>
      </x:c>
      <x:c r="R26" s="200" t="n">
        <x:f>Q26+R27-R25</x:f>
        <x:v>23160</x:v>
      </x:c>
      <x:c r="S26" s="200" t="n">
        <x:f>R26+S27-S25</x:f>
        <x:v>23025</x:v>
      </x:c>
      <x:c r="T26" s="200" t="n">
        <x:f>S26+T27-T25</x:f>
        <x:v>24150</x:v>
      </x:c>
      <x:c r="U26" s="200" t="n">
        <x:f>T26+U27-U25</x:f>
        <x:v>25140</x:v>
      </x:c>
      <x:c r="V26" s="200" t="n">
        <x:f>U26+V27-V25</x:f>
        <x:v>25005</x:v>
      </x:c>
      <x:c r="W26" s="200" t="n">
        <x:f>V26+W27-W25</x:f>
        <x:v>46120</x:v>
      </x:c>
      <x:c r="X26" s="200" t="n">
        <x:f>W26+X27-X25</x:f>
        <x:v>32110</x:v>
      </x:c>
      <x:c r="Y26" s="200" t="n">
        <x:f>X26+Y27-Y25</x:f>
        <x:v>31975</x:v>
      </x:c>
      <x:c r="Z26" s="200" t="n">
        <x:f>Y26+Z27-Z25</x:f>
        <x:v>33100</x:v>
      </x:c>
      <x:c r="AA26" s="200" t="n">
        <x:f>Z26+AA27-AA25</x:f>
        <x:v>44330</x:v>
      </x:c>
      <x:c r="AB26" s="200" t="n">
        <x:f>AA26+AB27-AB25</x:f>
        <x:v>46310</x:v>
      </x:c>
      <x:c r="AC26" s="200" t="n">
        <x:f>AB26+AC27-AC25</x:f>
        <x:v>68290</x:v>
      </x:c>
      <x:c r="AD26" s="200" t="n">
        <x:f>AC26+AD27-AD25</x:f>
        <x:v>55270</x:v>
      </x:c>
      <x:c r="AE26" s="200" t="n">
        <x:f>AD26+AE27-AE25</x:f>
        <x:v>57250</x:v>
      </x:c>
      <x:c r="AF26" s="200" t="n">
        <x:f>AE26+AF27-AF25</x:f>
        <x:v>79230</x:v>
      </x:c>
      <x:c r="AG26" s="200" t="n">
        <x:f>AF26+AG27-AG25</x:f>
        <x:v>66210</x:v>
      </x:c>
      <x:c r="AH26" s="200" t="n">
        <x:f>AG26+AH27-AH25</x:f>
        <x:v>68190</x:v>
      </x:c>
      <x:c r="AI26" s="200" t="n">
        <x:f>AH26+AI27-AI25</x:f>
        <x:v>90170</x:v>
      </x:c>
      <x:c r="AJ26" s="200" t="n">
        <x:f>AI26+AJ27-AJ25</x:f>
        <x:v>77150</x:v>
      </x:c>
      <x:c r="AK26" s="200" t="n">
        <x:f>AJ26+AK27-AK25</x:f>
        <x:v>79130</x:v>
      </x:c>
      <x:c r="AL26" s="200" t="n">
        <x:f>AK26+AL27-AL25</x:f>
        <x:v>102100</x:v>
      </x:c>
    </x:row>
    <x:row r="27" ht="32" customHeight="1">
      <x:c r="B27" s="116" t="str">
        <x:v>Billed revenue less loss allowance</x:v>
      </x:c>
      <x:c r="C27" s="200" t="n">
        <x:f>C20-C24</x:f>
        <x:v>0</x:v>
      </x:c>
      <x:c r="D27" s="200" t="n">
        <x:f>D20-D24</x:f>
        <x:v>0</x:v>
      </x:c>
      <x:c r="E27" s="200" t="n">
        <x:f>E20-E24</x:f>
        <x:v>0</x:v>
      </x:c>
      <x:c r="F27" s="200" t="n">
        <x:f>F20-F24</x:f>
        <x:v>0</x:v>
      </x:c>
      <x:c r="G27" s="200" t="n">
        <x:f>G20-G24</x:f>
        <x:v>0</x:v>
      </x:c>
      <x:c r="H27" s="200" t="n">
        <x:f>H20-H24</x:f>
        <x:v>0</x:v>
      </x:c>
      <x:c r="I27" s="200" t="n">
        <x:f>I20-I24</x:f>
        <x:v>18990</x:v>
      </x:c>
      <x:c r="J27" s="200" t="n">
        <x:f>J20-J24</x:f>
        <x:v>4980</x:v>
      </x:c>
      <x:c r="K27" s="200" t="n">
        <x:f>K20-K24</x:f>
        <x:v>5970</x:v>
      </x:c>
      <x:c r="L27" s="200" t="n">
        <x:f>L20-L24</x:f>
        <x:v>26460</x:v>
      </x:c>
      <x:c r="M27" s="200" t="n">
        <x:f>M20-M24</x:f>
        <x:v>12450</x:v>
      </x:c>
      <x:c r="N27" s="200" t="n">
        <x:f>N20-N24</x:f>
        <x:v>12450</x:v>
      </x:c>
      <x:c r="O27" s="200" t="n">
        <x:f>O20-O24</x:f>
        <x:v>16190</x:v>
      </x:c>
      <x:c r="P27" s="200" t="n">
        <x:f>P20-P24</x:f>
        <x:v>16055</x:v>
      </x:c>
      <x:c r="Q27" s="200" t="n">
        <x:f>Q20-Q24</x:f>
        <x:v>37170</x:v>
      </x:c>
      <x:c r="R27" s="200" t="n">
        <x:f>R20-R24</x:f>
        <x:v>23160</x:v>
      </x:c>
      <x:c r="S27" s="200" t="n">
        <x:f>S20-S24</x:f>
        <x:v>23025</x:v>
      </x:c>
      <x:c r="T27" s="200" t="n">
        <x:f>T20-T24</x:f>
        <x:v>24150</x:v>
      </x:c>
      <x:c r="U27" s="200" t="n">
        <x:f>U20-U24</x:f>
        <x:v>25140</x:v>
      </x:c>
      <x:c r="V27" s="200" t="n">
        <x:f>V20-V24</x:f>
        <x:v>25005</x:v>
      </x:c>
      <x:c r="W27" s="200" t="n">
        <x:f>W20-W24</x:f>
        <x:v>46120</x:v>
      </x:c>
      <x:c r="X27" s="200" t="n">
        <x:f>X20-X24</x:f>
        <x:v>32110</x:v>
      </x:c>
      <x:c r="Y27" s="200" t="n">
        <x:f>Y20-Y24</x:f>
        <x:v>31975</x:v>
      </x:c>
      <x:c r="Z27" s="200" t="n">
        <x:f>Z20-Z24</x:f>
        <x:v>33100</x:v>
      </x:c>
      <x:c r="AA27" s="200" t="n">
        <x:f>AA20-AA24</x:f>
        <x:v>44330</x:v>
      </x:c>
      <x:c r="AB27" s="200" t="n">
        <x:f>AB20-AB24</x:f>
        <x:v>46310</x:v>
      </x:c>
      <x:c r="AC27" s="200" t="n">
        <x:f>AC20-AC24</x:f>
        <x:v>68290</x:v>
      </x:c>
      <x:c r="AD27" s="200" t="n">
        <x:f>AD20-AD24</x:f>
        <x:v>55270</x:v>
      </x:c>
      <x:c r="AE27" s="200" t="n">
        <x:f>AE20-AE24</x:f>
        <x:v>57250</x:v>
      </x:c>
      <x:c r="AF27" s="200" t="n">
        <x:f>AF20-AF24</x:f>
        <x:v>79230</x:v>
      </x:c>
      <x:c r="AG27" s="200" t="n">
        <x:f>AG20-AG24</x:f>
        <x:v>66210</x:v>
      </x:c>
      <x:c r="AH27" s="200" t="n">
        <x:f>AH20-AH24</x:f>
        <x:v>68190</x:v>
      </x:c>
      <x:c r="AI27" s="200" t="n">
        <x:f>AI20-AI24</x:f>
        <x:v>90170</x:v>
      </x:c>
      <x:c r="AJ27" s="200" t="n">
        <x:f>AJ20-AJ24</x:f>
        <x:v>77150</x:v>
      </x:c>
      <x:c r="AK27" s="200" t="n">
        <x:f>AK20-AK24</x:f>
        <x:v>79130</x:v>
      </x:c>
      <x:c r="AL27" s="200" t="n">
        <x:f>AL20-AL24</x:f>
        <x:v>102100</x:v>
      </x:c>
    </x:row>
    <x:row r="28" ht="32" customHeight="1">
      <x:c r="B28" s="116"/>
      <x:c r="C28" s="200"/>
      <x:c r="D28" s="200"/>
      <x:c r="E28" s="200"/>
      <x:c r="F28" s="200"/>
      <x:c r="G28" s="200"/>
      <x:c r="H28" s="200"/>
      <x:c r="I28" s="200"/>
      <x:c r="J28" s="200"/>
      <x:c r="K28" s="200"/>
      <x:c r="L28" s="200"/>
      <x:c r="M28" s="200"/>
      <x:c r="N28" s="200"/>
      <x:c r="O28" s="200"/>
      <x:c r="P28" s="200"/>
      <x:c r="Q28" s="200"/>
      <x:c r="R28" s="200"/>
      <x:c r="S28" s="200"/>
      <x:c r="T28" s="200"/>
      <x:c r="U28" s="200"/>
      <x:c r="V28" s="200"/>
      <x:c r="W28" s="200"/>
      <x:c r="X28" s="200"/>
      <x:c r="Y28" s="200"/>
      <x:c r="Z28" s="200"/>
      <x:c r="AA28" s="200"/>
      <x:c r="AB28" s="200"/>
      <x:c r="AC28" s="200"/>
      <x:c r="AD28" s="200"/>
      <x:c r="AE28" s="200"/>
      <x:c r="AF28" s="200"/>
      <x:c r="AG28" s="200"/>
      <x:c r="AH28" s="200"/>
      <x:c r="AI28" s="200"/>
      <x:c r="AJ28" s="200"/>
      <x:c r="AK28" s="200"/>
      <x:c r="AL28" s="200"/>
    </x:row>
    <x:row r="29" ht="32" customHeight="1">
      <x:c r="B29" s="116"/>
      <x:c r="C29" s="116"/>
      <x:c r="D29" s="116"/>
      <x:c r="E29" s="116"/>
      <x:c r="F29" s="116"/>
      <x:c r="G29" s="116"/>
      <x:c r="H29" s="116"/>
      <x:c r="I29" s="116"/>
      <x:c r="J29" s="116"/>
      <x:c r="K29" s="116"/>
      <x:c r="L29" s="116"/>
      <x:c r="M29" s="116"/>
      <x:c r="N29" s="116"/>
      <x:c r="O29" s="116"/>
      <x:c r="P29" s="116"/>
      <x:c r="Q29" s="116"/>
      <x:c r="R29" s="116"/>
      <x:c r="S29" s="116"/>
      <x:c r="T29" s="116"/>
      <x:c r="U29" s="116"/>
      <x:c r="V29" s="116"/>
      <x:c r="W29" s="116"/>
      <x:c r="X29" s="116"/>
      <x:c r="Y29" s="116"/>
      <x:c r="Z29" s="116"/>
      <x:c r="AA29" s="116"/>
      <x:c r="AB29" s="116"/>
      <x:c r="AC29" s="116"/>
      <x:c r="AD29" s="116"/>
      <x:c r="AE29" s="116"/>
      <x:c r="AF29" s="116"/>
      <x:c r="AG29" s="116"/>
      <x:c r="AH29" s="116"/>
      <x:c r="AI29" s="116"/>
      <x:c r="AJ29" s="116"/>
      <x:c r="AK29" s="116"/>
      <x:c r="AL29" s="116"/>
    </x:row>
    <x:row r="30">
      <x:c r="B30" s="115"/>
      <x:c r="C30" s="115"/>
      <x:c r="D30" s="115"/>
      <x:c r="E30" s="115"/>
      <x:c r="F30" s="115"/>
      <x:c r="G30" s="115"/>
      <x:c r="H30" s="115"/>
      <x:c r="I30" s="115"/>
      <x:c r="J30" s="115"/>
      <x:c r="K30" s="115"/>
      <x:c r="L30" s="115"/>
      <x:c r="M30" s="115"/>
      <x:c r="N30" s="115"/>
      <x:c r="O30" s="115"/>
      <x:c r="P30" s="115"/>
      <x:c r="Q30" s="115"/>
      <x:c r="R30" s="115"/>
      <x:c r="S30" s="115"/>
      <x:c r="T30" s="115"/>
      <x:c r="U30" s="115"/>
      <x:c r="V30" s="115"/>
      <x:c r="W30" s="115"/>
      <x:c r="X30" s="115"/>
      <x:c r="Y30" s="115"/>
      <x:c r="Z30" s="115"/>
      <x:c r="AA30" s="115"/>
      <x:c r="AB30" s="115"/>
      <x:c r="AC30" s="115"/>
      <x:c r="AD30" s="115"/>
      <x:c r="AE30" s="115"/>
      <x:c r="AF30" s="115"/>
      <x:c r="AG30" s="115"/>
      <x:c r="AH30" s="115"/>
      <x:c r="AI30" s="115"/>
      <x:c r="AJ30" s="115"/>
      <x:c r="AK30" s="115"/>
      <x:c r="AL30" s="115"/>
    </x:row>
    <x:row r="31">
      <x:c r="B31" s="115"/>
      <x:c r="C31" s="115"/>
      <x:c r="D31" s="115"/>
      <x:c r="E31" s="115"/>
      <x:c r="F31" s="115"/>
      <x:c r="G31" s="115"/>
      <x:c r="H31" s="115"/>
      <x:c r="I31" s="115"/>
      <x:c r="J31" s="115"/>
      <x:c r="K31" s="115"/>
      <x:c r="L31" s="115"/>
      <x:c r="M31" s="115"/>
      <x:c r="N31" s="115"/>
      <x:c r="O31" s="115"/>
      <x:c r="P31" s="115"/>
      <x:c r="Q31" s="115"/>
      <x:c r="R31" s="115"/>
      <x:c r="S31" s="115"/>
      <x:c r="T31" s="115"/>
      <x:c r="U31" s="115"/>
      <x:c r="V31" s="115"/>
      <x:c r="W31" s="115"/>
      <x:c r="X31" s="115"/>
      <x:c r="Y31" s="115"/>
      <x:c r="Z31" s="115"/>
      <x:c r="AA31" s="115"/>
      <x:c r="AB31" s="115"/>
      <x:c r="AC31" s="115"/>
      <x:c r="AD31" s="115"/>
      <x:c r="AE31" s="115"/>
      <x:c r="AF31" s="115"/>
      <x:c r="AG31" s="115"/>
      <x:c r="AH31" s="115"/>
      <x:c r="AI31" s="115"/>
      <x:c r="AJ31" s="115"/>
      <x:c r="AK31" s="115"/>
      <x:c r="AL31" s="115"/>
    </x:row>
    <x:row r="32">
      <x:c r="B32" s="115"/>
      <x:c r="C32" s="115"/>
      <x:c r="D32" s="115"/>
      <x:c r="E32" s="115"/>
      <x:c r="F32" s="115"/>
      <x:c r="G32" s="115"/>
      <x:c r="H32" s="115"/>
      <x:c r="I32" s="115"/>
      <x:c r="J32" s="115"/>
      <x:c r="K32" s="115"/>
      <x:c r="L32" s="115"/>
      <x:c r="M32" s="115"/>
      <x:c r="N32" s="115"/>
      <x:c r="O32" s="115"/>
      <x:c r="P32" s="115"/>
      <x:c r="Q32" s="115"/>
      <x:c r="R32" s="115"/>
      <x:c r="S32" s="115"/>
      <x:c r="T32" s="115"/>
      <x:c r="U32" s="115"/>
      <x:c r="V32" s="115"/>
      <x:c r="W32" s="115"/>
      <x:c r="X32" s="115"/>
      <x:c r="Y32" s="115"/>
      <x:c r="Z32" s="115"/>
      <x:c r="AA32" s="115"/>
      <x:c r="AB32" s="115"/>
      <x:c r="AC32" s="115"/>
      <x:c r="AD32" s="115"/>
      <x:c r="AE32" s="115"/>
      <x:c r="AF32" s="115"/>
      <x:c r="AG32" s="115"/>
      <x:c r="AH32" s="115"/>
      <x:c r="AI32" s="115"/>
      <x:c r="AJ32" s="115"/>
      <x:c r="AK32" s="115"/>
      <x:c r="AL32" s="115"/>
    </x:row>
    <x:row r="33">
      <x:c r="B33" s="115"/>
      <x:c r="C33" s="115"/>
      <x:c r="D33" s="115"/>
      <x:c r="E33" s="115"/>
      <x:c r="F33" s="115"/>
      <x:c r="G33" s="115"/>
      <x:c r="H33" s="115"/>
      <x:c r="I33" s="115"/>
      <x:c r="J33" s="115"/>
      <x:c r="K33" s="115"/>
      <x:c r="L33" s="115"/>
      <x:c r="M33" s="115"/>
      <x:c r="N33" s="115"/>
      <x:c r="O33" s="115"/>
      <x:c r="P33" s="115"/>
      <x:c r="Q33" s="115"/>
      <x:c r="R33" s="115"/>
      <x:c r="S33" s="115"/>
      <x:c r="T33" s="115"/>
      <x:c r="U33" s="115"/>
      <x:c r="V33" s="115"/>
      <x:c r="W33" s="115"/>
      <x:c r="X33" s="115"/>
      <x:c r="Y33" s="115"/>
      <x:c r="Z33" s="115"/>
      <x:c r="AA33" s="115"/>
      <x:c r="AB33" s="115"/>
      <x:c r="AC33" s="115"/>
      <x:c r="AD33" s="115"/>
      <x:c r="AE33" s="115"/>
      <x:c r="AF33" s="115"/>
      <x:c r="AG33" s="115"/>
      <x:c r="AH33" s="115"/>
      <x:c r="AI33" s="115"/>
      <x:c r="AJ33" s="115"/>
      <x:c r="AK33" s="115"/>
      <x:c r="AL33" s="115"/>
    </x:row>
    <x:row r="34">
      <x:c r="B34" s="115"/>
      <x:c r="C34" s="115"/>
      <x:c r="D34" s="115"/>
      <x:c r="E34" s="115"/>
      <x:c r="F34" s="115"/>
      <x:c r="G34" s="115"/>
      <x:c r="H34" s="115"/>
      <x:c r="I34" s="115"/>
      <x:c r="J34" s="115"/>
      <x:c r="K34" s="115"/>
      <x:c r="L34" s="115"/>
      <x:c r="M34" s="115"/>
      <x:c r="N34" s="115"/>
      <x:c r="O34" s="115"/>
      <x:c r="P34" s="115"/>
      <x:c r="Q34" s="115"/>
      <x:c r="R34" s="115"/>
      <x:c r="S34" s="115"/>
      <x:c r="T34" s="115"/>
      <x:c r="U34" s="115"/>
      <x:c r="V34" s="115"/>
      <x:c r="W34" s="115"/>
      <x:c r="X34" s="115"/>
      <x:c r="Y34" s="115"/>
      <x:c r="Z34" s="115"/>
      <x:c r="AA34" s="115"/>
      <x:c r="AB34" s="115"/>
      <x:c r="AC34" s="115"/>
      <x:c r="AD34" s="115"/>
      <x:c r="AE34" s="115"/>
      <x:c r="AF34" s="115"/>
      <x:c r="AG34" s="115"/>
      <x:c r="AH34" s="115"/>
      <x:c r="AI34" s="115"/>
      <x:c r="AJ34" s="115"/>
      <x:c r="AK34" s="115"/>
      <x:c r="AL34" s="115"/>
    </x:row>
    <x:row r="35">
      <x:c r="B35" s="115"/>
      <x:c r="C35" s="115"/>
      <x:c r="D35" s="115"/>
      <x:c r="E35" s="115"/>
      <x:c r="F35" s="115"/>
      <x:c r="G35" s="115"/>
      <x:c r="H35" s="115"/>
      <x:c r="I35" s="115"/>
      <x:c r="J35" s="115"/>
      <x:c r="K35" s="115"/>
      <x:c r="L35" s="115"/>
      <x:c r="M35" s="115"/>
      <x:c r="N35" s="115"/>
      <x:c r="O35" s="115"/>
      <x:c r="P35" s="115"/>
      <x:c r="Q35" s="115"/>
      <x:c r="R35" s="115"/>
      <x:c r="S35" s="115"/>
      <x:c r="T35" s="115"/>
      <x:c r="U35" s="115"/>
      <x:c r="V35" s="115"/>
      <x:c r="W35" s="115"/>
      <x:c r="X35" s="115"/>
      <x:c r="Y35" s="115"/>
      <x:c r="Z35" s="115"/>
      <x:c r="AA35" s="115"/>
      <x:c r="AB35" s="115"/>
      <x:c r="AC35" s="115"/>
      <x:c r="AD35" s="115"/>
      <x:c r="AE35" s="115"/>
      <x:c r="AF35" s="115"/>
      <x:c r="AG35" s="115"/>
      <x:c r="AH35" s="115"/>
      <x:c r="AI35" s="115"/>
      <x:c r="AJ35" s="115"/>
      <x:c r="AK35" s="115"/>
      <x:c r="AL35" s="115"/>
    </x:row>
    <x:row r="36">
      <x:c r="B36" s="115"/>
      <x:c r="C36" s="115"/>
      <x:c r="D36" s="115"/>
      <x:c r="E36" s="115"/>
      <x:c r="F36" s="115"/>
      <x:c r="G36" s="115"/>
      <x:c r="H36" s="115"/>
      <x:c r="I36" s="115"/>
      <x:c r="J36" s="115"/>
      <x:c r="K36" s="115"/>
      <x:c r="L36" s="115"/>
      <x:c r="M36" s="115"/>
      <x:c r="N36" s="115"/>
      <x:c r="O36" s="115"/>
      <x:c r="P36" s="115"/>
      <x:c r="Q36" s="115"/>
      <x:c r="R36" s="115"/>
      <x:c r="S36" s="115"/>
      <x:c r="T36" s="115"/>
      <x:c r="U36" s="115"/>
      <x:c r="V36" s="115"/>
      <x:c r="W36" s="115"/>
      <x:c r="X36" s="115"/>
      <x:c r="Y36" s="115"/>
      <x:c r="Z36" s="115"/>
      <x:c r="AA36" s="115"/>
      <x:c r="AB36" s="115"/>
      <x:c r="AC36" s="115"/>
      <x:c r="AD36" s="115"/>
      <x:c r="AE36" s="115"/>
      <x:c r="AF36" s="115"/>
      <x:c r="AG36" s="115"/>
      <x:c r="AH36" s="115"/>
      <x:c r="AI36" s="115"/>
      <x:c r="AJ36" s="115"/>
      <x:c r="AK36" s="115"/>
      <x:c r="AL36" s="115"/>
    </x:row>
    <x:row r="37">
      <x:c r="B37" s="115"/>
      <x:c r="C37" s="115"/>
      <x:c r="D37" s="115"/>
      <x:c r="E37" s="115"/>
      <x:c r="F37" s="115"/>
      <x:c r="G37" s="115"/>
      <x:c r="H37" s="115"/>
      <x:c r="I37" s="115"/>
      <x:c r="J37" s="115"/>
      <x:c r="K37" s="115"/>
      <x:c r="L37" s="115"/>
      <x:c r="M37" s="115"/>
      <x:c r="N37" s="115"/>
      <x:c r="O37" s="115"/>
      <x:c r="P37" s="115"/>
      <x:c r="Q37" s="115"/>
      <x:c r="R37" s="115"/>
      <x:c r="S37" s="115"/>
      <x:c r="T37" s="115"/>
      <x:c r="U37" s="115"/>
      <x:c r="V37" s="115"/>
      <x:c r="W37" s="115"/>
      <x:c r="X37" s="115"/>
      <x:c r="Y37" s="115"/>
      <x:c r="Z37" s="115"/>
      <x:c r="AA37" s="115"/>
      <x:c r="AB37" s="115"/>
      <x:c r="AC37" s="115"/>
      <x:c r="AD37" s="115"/>
      <x:c r="AE37" s="115"/>
      <x:c r="AF37" s="115"/>
      <x:c r="AG37" s="115"/>
      <x:c r="AH37" s="115"/>
      <x:c r="AI37" s="115"/>
      <x:c r="AJ37" s="115"/>
      <x:c r="AK37" s="115"/>
      <x:c r="AL37" s="115"/>
    </x:row>
    <x:row r="38">
      <x:c r="B38" s="115"/>
      <x:c r="C38" s="115"/>
      <x:c r="D38" s="115"/>
      <x:c r="E38" s="115"/>
      <x:c r="F38" s="115"/>
      <x:c r="G38" s="115"/>
      <x:c r="H38" s="115"/>
      <x:c r="I38" s="115"/>
      <x:c r="J38" s="115"/>
      <x:c r="K38" s="115"/>
      <x:c r="L38" s="115"/>
      <x:c r="M38" s="115"/>
      <x:c r="N38" s="115"/>
      <x:c r="O38" s="115"/>
      <x:c r="P38" s="115"/>
      <x:c r="Q38" s="115"/>
      <x:c r="R38" s="115"/>
      <x:c r="S38" s="115"/>
      <x:c r="T38" s="115"/>
      <x:c r="U38" s="115"/>
      <x:c r="V38" s="115"/>
      <x:c r="W38" s="115"/>
      <x:c r="X38" s="115"/>
      <x:c r="Y38" s="115"/>
      <x:c r="Z38" s="115"/>
      <x:c r="AA38" s="115"/>
      <x:c r="AB38" s="115"/>
      <x:c r="AC38" s="115"/>
      <x:c r="AD38" s="115"/>
      <x:c r="AE38" s="115"/>
      <x:c r="AF38" s="115"/>
      <x:c r="AG38" s="115"/>
      <x:c r="AH38" s="115"/>
      <x:c r="AI38" s="115"/>
      <x:c r="AJ38" s="115"/>
      <x:c r="AK38" s="115"/>
      <x:c r="AL38" s="115"/>
    </x:row>
    <x:row r="39">
      <x:c r="B39" s="115"/>
      <x:c r="C39" s="115"/>
      <x:c r="D39" s="115"/>
      <x:c r="E39" s="115"/>
      <x:c r="F39" s="115"/>
      <x:c r="G39" s="115"/>
      <x:c r="H39" s="115"/>
      <x:c r="I39" s="115"/>
      <x:c r="J39" s="115"/>
      <x:c r="K39" s="115"/>
      <x:c r="L39" s="115"/>
      <x:c r="M39" s="115"/>
      <x:c r="N39" s="115"/>
      <x:c r="O39" s="115"/>
      <x:c r="P39" s="115"/>
      <x:c r="Q39" s="115"/>
      <x:c r="R39" s="115"/>
      <x:c r="S39" s="115"/>
      <x:c r="T39" s="115"/>
      <x:c r="U39" s="115"/>
      <x:c r="V39" s="115"/>
      <x:c r="W39" s="115"/>
      <x:c r="X39" s="115"/>
      <x:c r="Y39" s="115"/>
      <x:c r="Z39" s="115"/>
      <x:c r="AA39" s="115"/>
      <x:c r="AB39" s="115"/>
      <x:c r="AC39" s="115"/>
      <x:c r="AD39" s="115"/>
      <x:c r="AE39" s="115"/>
      <x:c r="AF39" s="115"/>
      <x:c r="AG39" s="115"/>
      <x:c r="AH39" s="115"/>
      <x:c r="AI39" s="115"/>
      <x:c r="AJ39" s="115"/>
      <x:c r="AK39" s="115"/>
      <x:c r="AL39" s="115"/>
    </x:row>
    <x:row r="40">
      <x:c r="B40" s="115"/>
      <x:c r="C40" s="115"/>
      <x:c r="D40" s="115"/>
      <x:c r="E40" s="115"/>
      <x:c r="F40" s="115"/>
      <x:c r="G40" s="115"/>
      <x:c r="H40" s="115"/>
      <x:c r="I40" s="115"/>
      <x:c r="J40" s="115"/>
      <x:c r="K40" s="115"/>
      <x:c r="L40" s="115"/>
      <x:c r="M40" s="115"/>
      <x:c r="N40" s="115"/>
      <x:c r="O40" s="115"/>
      <x:c r="P40" s="115"/>
      <x:c r="Q40" s="115"/>
      <x:c r="R40" s="115"/>
      <x:c r="S40" s="115"/>
      <x:c r="T40" s="115"/>
      <x:c r="U40" s="115"/>
      <x:c r="V40" s="115"/>
      <x:c r="W40" s="115"/>
      <x:c r="X40" s="115"/>
      <x:c r="Y40" s="115"/>
      <x:c r="Z40" s="115"/>
      <x:c r="AA40" s="115"/>
      <x:c r="AB40" s="115"/>
      <x:c r="AC40" s="115"/>
      <x:c r="AD40" s="115"/>
      <x:c r="AE40" s="115"/>
      <x:c r="AF40" s="115"/>
      <x:c r="AG40" s="115"/>
      <x:c r="AH40" s="115"/>
      <x:c r="AI40" s="115"/>
      <x:c r="AJ40" s="115"/>
      <x:c r="AK40" s="115"/>
      <x:c r="AL40" s="115"/>
    </x:row>
    <x:row r="41">
      <x:c r="B41" s="115"/>
      <x:c r="C41" s="115"/>
      <x:c r="D41" s="115"/>
      <x:c r="E41" s="115"/>
      <x:c r="F41" s="115"/>
      <x:c r="G41" s="115"/>
      <x:c r="H41" s="115"/>
      <x:c r="I41" s="115"/>
      <x:c r="J41" s="115"/>
      <x:c r="K41" s="115"/>
      <x:c r="L41" s="115"/>
      <x:c r="M41" s="115"/>
      <x:c r="N41" s="115"/>
      <x:c r="O41" s="115"/>
      <x:c r="P41" s="115"/>
      <x:c r="Q41" s="115"/>
      <x:c r="R41" s="115"/>
      <x:c r="S41" s="115"/>
      <x:c r="T41" s="115"/>
      <x:c r="U41" s="115"/>
      <x:c r="V41" s="115"/>
      <x:c r="W41" s="115"/>
      <x:c r="X41" s="115"/>
      <x:c r="Y41" s="115"/>
      <x:c r="Z41" s="115"/>
      <x:c r="AA41" s="115"/>
      <x:c r="AB41" s="115"/>
      <x:c r="AC41" s="115"/>
      <x:c r="AD41" s="115"/>
      <x:c r="AE41" s="115"/>
      <x:c r="AF41" s="115"/>
      <x:c r="AG41" s="115"/>
      <x:c r="AH41" s="115"/>
      <x:c r="AI41" s="115"/>
      <x:c r="AJ41" s="115"/>
      <x:c r="AK41" s="115"/>
      <x:c r="AL41" s="115"/>
    </x:row>
    <x:row r="42">
      <x:c r="B42" s="115"/>
      <x:c r="C42" s="115"/>
      <x:c r="D42" s="115"/>
      <x:c r="E42" s="115"/>
      <x:c r="F42" s="115"/>
      <x:c r="G42" s="115"/>
      <x:c r="H42" s="115"/>
      <x:c r="I42" s="115"/>
      <x:c r="J42" s="115"/>
      <x:c r="K42" s="115"/>
      <x:c r="L42" s="115"/>
      <x:c r="M42" s="115"/>
      <x:c r="N42" s="115"/>
      <x:c r="O42" s="115"/>
      <x:c r="P42" s="115"/>
      <x:c r="Q42" s="115"/>
      <x:c r="R42" s="115"/>
      <x:c r="S42" s="115"/>
      <x:c r="T42" s="115"/>
      <x:c r="U42" s="115"/>
      <x:c r="V42" s="115"/>
      <x:c r="W42" s="115"/>
      <x:c r="X42" s="115"/>
      <x:c r="Y42" s="115"/>
      <x:c r="Z42" s="115"/>
      <x:c r="AA42" s="115"/>
      <x:c r="AB42" s="115"/>
      <x:c r="AC42" s="115"/>
      <x:c r="AD42" s="115"/>
      <x:c r="AE42" s="115"/>
      <x:c r="AF42" s="115"/>
      <x:c r="AG42" s="115"/>
      <x:c r="AH42" s="115"/>
      <x:c r="AI42" s="115"/>
      <x:c r="AJ42" s="115"/>
      <x:c r="AK42" s="115"/>
      <x:c r="AL42" s="115"/>
    </x:row>
    <x:row r="43">
      <x:c r="B43" s="115"/>
      <x:c r="C43" s="115"/>
      <x:c r="D43" s="115"/>
      <x:c r="E43" s="115"/>
      <x:c r="F43" s="115"/>
      <x:c r="G43" s="115"/>
      <x:c r="H43" s="115"/>
      <x:c r="I43" s="115"/>
      <x:c r="J43" s="115"/>
      <x:c r="K43" s="115"/>
      <x:c r="L43" s="115"/>
      <x:c r="M43" s="115"/>
      <x:c r="N43" s="115"/>
      <x:c r="O43" s="115"/>
      <x:c r="P43" s="115"/>
      <x:c r="Q43" s="115"/>
      <x:c r="R43" s="115"/>
      <x:c r="S43" s="115"/>
      <x:c r="T43" s="115"/>
      <x:c r="U43" s="115"/>
      <x:c r="V43" s="115"/>
      <x:c r="W43" s="115"/>
      <x:c r="X43" s="115"/>
      <x:c r="Y43" s="115"/>
      <x:c r="Z43" s="115"/>
      <x:c r="AA43" s="115"/>
      <x:c r="AB43" s="115"/>
      <x:c r="AC43" s="115"/>
      <x:c r="AD43" s="115"/>
      <x:c r="AE43" s="115"/>
      <x:c r="AF43" s="115"/>
      <x:c r="AG43" s="115"/>
      <x:c r="AH43" s="115"/>
      <x:c r="AI43" s="115"/>
      <x:c r="AJ43" s="115"/>
      <x:c r="AK43" s="115"/>
      <x:c r="AL43" s="115"/>
    </x:row>
    <x:row r="44">
      <x:c r="B44" s="115"/>
      <x:c r="C44" s="115"/>
      <x:c r="D44" s="115"/>
      <x:c r="E44" s="115"/>
      <x:c r="F44" s="115"/>
      <x:c r="G44" s="115"/>
      <x:c r="H44" s="115"/>
      <x:c r="I44" s="115"/>
      <x:c r="J44" s="115"/>
      <x:c r="K44" s="115"/>
      <x:c r="L44" s="115"/>
      <x:c r="M44" s="115"/>
      <x:c r="N44" s="115"/>
      <x:c r="O44" s="115"/>
      <x:c r="P44" s="115"/>
      <x:c r="Q44" s="115"/>
      <x:c r="R44" s="115"/>
      <x:c r="S44" s="115"/>
      <x:c r="T44" s="115"/>
      <x:c r="U44" s="115"/>
      <x:c r="V44" s="115"/>
      <x:c r="W44" s="115"/>
      <x:c r="X44" s="115"/>
      <x:c r="Y44" s="115"/>
      <x:c r="Z44" s="115"/>
      <x:c r="AA44" s="115"/>
      <x:c r="AB44" s="115"/>
      <x:c r="AC44" s="115"/>
      <x:c r="AD44" s="115"/>
      <x:c r="AE44" s="115"/>
      <x:c r="AF44" s="115"/>
      <x:c r="AG44" s="115"/>
      <x:c r="AH44" s="115"/>
      <x:c r="AI44" s="115"/>
      <x:c r="AJ44" s="115"/>
      <x:c r="AK44" s="115"/>
      <x:c r="AL44" s="115"/>
    </x:row>
    <x:row r="45">
      <x:c r="B45" s="115"/>
      <x:c r="C45" s="115"/>
      <x:c r="D45" s="115"/>
      <x:c r="E45" s="115"/>
      <x:c r="F45" s="115"/>
      <x:c r="G45" s="115"/>
      <x:c r="H45" s="115"/>
      <x:c r="I45" s="115"/>
      <x:c r="J45" s="115"/>
      <x:c r="K45" s="115"/>
      <x:c r="L45" s="115"/>
      <x:c r="M45" s="115"/>
      <x:c r="N45" s="115"/>
      <x:c r="O45" s="115"/>
      <x:c r="P45" s="115"/>
      <x:c r="Q45" s="115"/>
      <x:c r="R45" s="115"/>
      <x:c r="S45" s="115"/>
      <x:c r="T45" s="115"/>
      <x:c r="U45" s="115"/>
      <x:c r="V45" s="115"/>
      <x:c r="W45" s="115"/>
      <x:c r="X45" s="115"/>
      <x:c r="Y45" s="115"/>
      <x:c r="Z45" s="115"/>
      <x:c r="AA45" s="115"/>
      <x:c r="AB45" s="115"/>
      <x:c r="AC45" s="115"/>
      <x:c r="AD45" s="115"/>
      <x:c r="AE45" s="115"/>
      <x:c r="AF45" s="115"/>
      <x:c r="AG45" s="115"/>
      <x:c r="AH45" s="115"/>
      <x:c r="AI45" s="115"/>
      <x:c r="AJ45" s="115"/>
      <x:c r="AK45" s="115"/>
      <x:c r="AL45" s="115"/>
    </x:row>
    <x:row r="46">
      <x:c r="B46" s="115"/>
      <x:c r="C46" s="115"/>
      <x:c r="D46" s="115"/>
      <x:c r="E46" s="115"/>
      <x:c r="F46" s="115"/>
      <x:c r="G46" s="115"/>
      <x:c r="H46" s="115"/>
      <x:c r="I46" s="115"/>
      <x:c r="J46" s="115"/>
      <x:c r="K46" s="115"/>
      <x:c r="L46" s="115"/>
      <x:c r="M46" s="115"/>
      <x:c r="N46" s="115"/>
      <x:c r="O46" s="115"/>
      <x:c r="P46" s="115"/>
      <x:c r="Q46" s="115"/>
      <x:c r="R46" s="115"/>
      <x:c r="S46" s="115"/>
      <x:c r="T46" s="115"/>
      <x:c r="U46" s="115"/>
      <x:c r="V46" s="115"/>
      <x:c r="W46" s="115"/>
      <x:c r="X46" s="115"/>
      <x:c r="Y46" s="115"/>
      <x:c r="Z46" s="115"/>
      <x:c r="AA46" s="115"/>
      <x:c r="AB46" s="115"/>
      <x:c r="AC46" s="115"/>
      <x:c r="AD46" s="115"/>
      <x:c r="AE46" s="115"/>
      <x:c r="AF46" s="115"/>
      <x:c r="AG46" s="115"/>
      <x:c r="AH46" s="115"/>
      <x:c r="AI46" s="115"/>
      <x:c r="AJ46" s="115"/>
      <x:c r="AK46" s="115"/>
      <x:c r="AL46" s="115"/>
    </x:row>
    <x:row r="47">
      <x:c r="B47" s="115"/>
      <x:c r="C47" s="115"/>
      <x:c r="D47" s="115"/>
      <x:c r="E47" s="115"/>
      <x:c r="F47" s="115"/>
      <x:c r="G47" s="115"/>
      <x:c r="H47" s="115"/>
      <x:c r="I47" s="115"/>
      <x:c r="J47" s="115"/>
      <x:c r="K47" s="115"/>
      <x:c r="L47" s="115"/>
      <x:c r="M47" s="115"/>
      <x:c r="N47" s="115"/>
      <x:c r="O47" s="115"/>
      <x:c r="P47" s="115"/>
      <x:c r="Q47" s="115"/>
      <x:c r="R47" s="115"/>
      <x:c r="S47" s="115"/>
      <x:c r="T47" s="115"/>
      <x:c r="U47" s="115"/>
      <x:c r="V47" s="115"/>
      <x:c r="W47" s="115"/>
      <x:c r="X47" s="115"/>
      <x:c r="Y47" s="115"/>
      <x:c r="Z47" s="115"/>
      <x:c r="AA47" s="115"/>
      <x:c r="AB47" s="115"/>
      <x:c r="AC47" s="115"/>
      <x:c r="AD47" s="115"/>
      <x:c r="AE47" s="115"/>
      <x:c r="AF47" s="115"/>
      <x:c r="AG47" s="115"/>
      <x:c r="AH47" s="115"/>
      <x:c r="AI47" s="115"/>
      <x:c r="AJ47" s="115"/>
      <x:c r="AK47" s="115"/>
      <x:c r="AL47" s="115"/>
    </x:row>
    <x:row r="48">
      <x:c r="B48" s="115"/>
      <x:c r="C48" s="115"/>
      <x:c r="D48" s="115"/>
      <x:c r="E48" s="115"/>
      <x:c r="F48" s="115"/>
      <x:c r="G48" s="115"/>
      <x:c r="H48" s="115"/>
      <x:c r="I48" s="115"/>
      <x:c r="J48" s="115"/>
      <x:c r="K48" s="115"/>
      <x:c r="L48" s="115"/>
      <x:c r="M48" s="115"/>
      <x:c r="N48" s="115"/>
      <x:c r="O48" s="115"/>
      <x:c r="P48" s="115"/>
      <x:c r="Q48" s="115"/>
      <x:c r="R48" s="115"/>
      <x:c r="S48" s="115"/>
      <x:c r="T48" s="115"/>
      <x:c r="U48" s="115"/>
      <x:c r="V48" s="115"/>
      <x:c r="W48" s="115"/>
      <x:c r="X48" s="115"/>
      <x:c r="Y48" s="115"/>
      <x:c r="Z48" s="115"/>
      <x:c r="AA48" s="115"/>
      <x:c r="AB48" s="115"/>
      <x:c r="AC48" s="115"/>
      <x:c r="AD48" s="115"/>
      <x:c r="AE48" s="115"/>
      <x:c r="AF48" s="115"/>
      <x:c r="AG48" s="115"/>
      <x:c r="AH48" s="115"/>
      <x:c r="AI48" s="115"/>
      <x:c r="AJ48" s="115"/>
      <x:c r="AK48" s="115"/>
      <x:c r="AL48" s="115"/>
    </x:row>
    <x:row r="49">
      <x:c r="B49" s="115"/>
      <x:c r="C49" s="115"/>
      <x:c r="D49" s="115"/>
      <x:c r="E49" s="115"/>
      <x:c r="F49" s="115"/>
      <x:c r="G49" s="115"/>
      <x:c r="H49" s="115"/>
      <x:c r="I49" s="115"/>
      <x:c r="J49" s="115"/>
      <x:c r="K49" s="115"/>
      <x:c r="L49" s="115"/>
      <x:c r="M49" s="115"/>
      <x:c r="N49" s="115"/>
      <x:c r="O49" s="115"/>
      <x:c r="P49" s="115"/>
      <x:c r="Q49" s="115"/>
      <x:c r="R49" s="115"/>
      <x:c r="S49" s="115"/>
      <x:c r="T49" s="115"/>
      <x:c r="U49" s="115"/>
      <x:c r="V49" s="115"/>
      <x:c r="W49" s="115"/>
      <x:c r="X49" s="115"/>
      <x:c r="Y49" s="115"/>
      <x:c r="Z49" s="115"/>
      <x:c r="AA49" s="115"/>
      <x:c r="AB49" s="115"/>
      <x:c r="AC49" s="115"/>
      <x:c r="AD49" s="115"/>
      <x:c r="AE49" s="115"/>
      <x:c r="AF49" s="115"/>
      <x:c r="AG49" s="115"/>
      <x:c r="AH49" s="115"/>
      <x:c r="AI49" s="115"/>
      <x:c r="AJ49" s="115"/>
      <x:c r="AK49" s="115"/>
      <x:c r="AL49" s="115"/>
    </x:row>
    <x:row r="50">
      <x:c r="B50" s="115"/>
      <x:c r="C50" s="115"/>
      <x:c r="D50" s="115"/>
      <x:c r="E50" s="115"/>
      <x:c r="F50" s="115"/>
      <x:c r="G50" s="115"/>
      <x:c r="H50" s="115"/>
      <x:c r="I50" s="115"/>
      <x:c r="J50" s="115"/>
      <x:c r="K50" s="115"/>
      <x:c r="L50" s="115"/>
      <x:c r="M50" s="115"/>
      <x:c r="N50" s="115"/>
      <x:c r="O50" s="115"/>
      <x:c r="P50" s="115"/>
      <x:c r="Q50" s="115"/>
      <x:c r="R50" s="115"/>
      <x:c r="S50" s="115"/>
      <x:c r="T50" s="115"/>
      <x:c r="U50" s="115"/>
      <x:c r="V50" s="115"/>
      <x:c r="W50" s="115"/>
      <x:c r="X50" s="115"/>
      <x:c r="Y50" s="115"/>
      <x:c r="Z50" s="115"/>
      <x:c r="AA50" s="115"/>
      <x:c r="AB50" s="115"/>
      <x:c r="AC50" s="115"/>
      <x:c r="AD50" s="115"/>
      <x:c r="AE50" s="115"/>
      <x:c r="AF50" s="115"/>
      <x:c r="AG50" s="115"/>
      <x:c r="AH50" s="115"/>
      <x:c r="AI50" s="115"/>
      <x:c r="AJ50" s="115"/>
      <x:c r="AK50" s="115"/>
      <x:c r="AL50" s="115"/>
    </x:row>
    <x:row r="51">
      <x:c r="B51" s="115"/>
      <x:c r="C51" s="115"/>
      <x:c r="D51" s="115"/>
      <x:c r="E51" s="115"/>
      <x:c r="F51" s="115"/>
      <x:c r="G51" s="115"/>
      <x:c r="H51" s="115"/>
      <x:c r="I51" s="115"/>
      <x:c r="J51" s="115"/>
      <x:c r="K51" s="115"/>
      <x:c r="L51" s="115"/>
      <x:c r="M51" s="115"/>
      <x:c r="N51" s="115"/>
      <x:c r="O51" s="115"/>
      <x:c r="P51" s="115"/>
      <x:c r="Q51" s="115"/>
      <x:c r="R51" s="115"/>
      <x:c r="S51" s="115"/>
      <x:c r="T51" s="115"/>
      <x:c r="U51" s="115"/>
      <x:c r="V51" s="115"/>
      <x:c r="W51" s="115"/>
      <x:c r="X51" s="115"/>
      <x:c r="Y51" s="115"/>
      <x:c r="Z51" s="115"/>
      <x:c r="AA51" s="115"/>
      <x:c r="AB51" s="115"/>
      <x:c r="AC51" s="115"/>
      <x:c r="AD51" s="115"/>
      <x:c r="AE51" s="115"/>
      <x:c r="AF51" s="115"/>
      <x:c r="AG51" s="115"/>
      <x:c r="AH51" s="115"/>
      <x:c r="AI51" s="115"/>
      <x:c r="AJ51" s="115"/>
      <x:c r="AK51" s="115"/>
      <x:c r="AL51" s="115"/>
    </x:row>
    <x:row r="52">
      <x:c r="B52" s="115"/>
      <x:c r="C52" s="115"/>
      <x:c r="D52" s="115"/>
      <x:c r="E52" s="115"/>
      <x:c r="F52" s="115"/>
      <x:c r="G52" s="115"/>
      <x:c r="H52" s="115"/>
      <x:c r="I52" s="115"/>
      <x:c r="J52" s="115"/>
      <x:c r="K52" s="115"/>
      <x:c r="L52" s="115"/>
      <x:c r="M52" s="115"/>
      <x:c r="N52" s="115"/>
      <x:c r="O52" s="115"/>
      <x:c r="P52" s="115"/>
      <x:c r="Q52" s="115"/>
      <x:c r="R52" s="115"/>
      <x:c r="S52" s="115"/>
      <x:c r="T52" s="115"/>
      <x:c r="U52" s="115"/>
      <x:c r="V52" s="115"/>
      <x:c r="W52" s="115"/>
      <x:c r="X52" s="115"/>
      <x:c r="Y52" s="115"/>
      <x:c r="Z52" s="115"/>
      <x:c r="AA52" s="115"/>
      <x:c r="AB52" s="115"/>
      <x:c r="AC52" s="115"/>
      <x:c r="AD52" s="115"/>
      <x:c r="AE52" s="115"/>
      <x:c r="AF52" s="115"/>
      <x:c r="AG52" s="115"/>
      <x:c r="AH52" s="115"/>
      <x:c r="AI52" s="115"/>
      <x:c r="AJ52" s="115"/>
      <x:c r="AK52" s="115"/>
      <x:c r="AL52" s="115"/>
    </x:row>
    <x:row r="53">
      <x:c r="B53" s="115"/>
      <x:c r="C53" s="115"/>
      <x:c r="D53" s="115"/>
      <x:c r="E53" s="115"/>
      <x:c r="F53" s="115"/>
      <x:c r="G53" s="115"/>
      <x:c r="H53" s="115"/>
      <x:c r="I53" s="115"/>
      <x:c r="J53" s="115"/>
      <x:c r="K53" s="115"/>
      <x:c r="L53" s="115"/>
      <x:c r="M53" s="115"/>
      <x:c r="N53" s="115"/>
      <x:c r="O53" s="115"/>
      <x:c r="P53" s="115"/>
      <x:c r="Q53" s="115"/>
      <x:c r="R53" s="115"/>
      <x:c r="S53" s="115"/>
      <x:c r="T53" s="115"/>
      <x:c r="U53" s="115"/>
      <x:c r="V53" s="115"/>
      <x:c r="W53" s="115"/>
      <x:c r="X53" s="115"/>
      <x:c r="Y53" s="115"/>
      <x:c r="Z53" s="115"/>
      <x:c r="AA53" s="115"/>
      <x:c r="AB53" s="115"/>
      <x:c r="AC53" s="115"/>
      <x:c r="AD53" s="115"/>
      <x:c r="AE53" s="115"/>
      <x:c r="AF53" s="115"/>
      <x:c r="AG53" s="115"/>
      <x:c r="AH53" s="115"/>
      <x:c r="AI53" s="115"/>
      <x:c r="AJ53" s="115"/>
      <x:c r="AK53" s="115"/>
      <x:c r="AL53" s="115"/>
    </x:row>
    <x:row r="54">
      <x:c r="B54" s="115"/>
      <x:c r="C54" s="115"/>
      <x:c r="D54" s="115"/>
      <x:c r="E54" s="115"/>
      <x:c r="F54" s="115"/>
      <x:c r="G54" s="115"/>
      <x:c r="H54" s="115"/>
      <x:c r="I54" s="115"/>
      <x:c r="J54" s="115"/>
      <x:c r="K54" s="115"/>
      <x:c r="L54" s="115"/>
      <x:c r="M54" s="115"/>
      <x:c r="N54" s="115"/>
      <x:c r="O54" s="115"/>
      <x:c r="P54" s="115"/>
      <x:c r="Q54" s="115"/>
      <x:c r="R54" s="115"/>
      <x:c r="S54" s="115"/>
      <x:c r="T54" s="115"/>
      <x:c r="U54" s="115"/>
      <x:c r="V54" s="115"/>
      <x:c r="W54" s="115"/>
      <x:c r="X54" s="115"/>
      <x:c r="Y54" s="115"/>
      <x:c r="Z54" s="115"/>
      <x:c r="AA54" s="115"/>
      <x:c r="AB54" s="115"/>
      <x:c r="AC54" s="115"/>
      <x:c r="AD54" s="115"/>
      <x:c r="AE54" s="115"/>
      <x:c r="AF54" s="115"/>
      <x:c r="AG54" s="115"/>
      <x:c r="AH54" s="115"/>
      <x:c r="AI54" s="115"/>
      <x:c r="AJ54" s="115"/>
      <x:c r="AK54" s="115"/>
      <x:c r="AL54" s="115"/>
    </x:row>
    <x:row r="55">
      <x:c r="B55" s="115"/>
      <x:c r="C55" s="115"/>
      <x:c r="D55" s="115"/>
      <x:c r="E55" s="115"/>
      <x:c r="F55" s="115"/>
      <x:c r="G55" s="115"/>
      <x:c r="H55" s="115"/>
      <x:c r="I55" s="115"/>
      <x:c r="J55" s="115"/>
      <x:c r="K55" s="115"/>
      <x:c r="L55" s="115"/>
      <x:c r="M55" s="115"/>
      <x:c r="N55" s="115"/>
      <x:c r="O55" s="115"/>
      <x:c r="P55" s="115"/>
      <x:c r="Q55" s="115"/>
      <x:c r="R55" s="115"/>
      <x:c r="S55" s="115"/>
      <x:c r="T55" s="115"/>
      <x:c r="U55" s="115"/>
      <x:c r="V55" s="115"/>
      <x:c r="W55" s="115"/>
      <x:c r="X55" s="115"/>
      <x:c r="Y55" s="115"/>
      <x:c r="Z55" s="115"/>
      <x:c r="AA55" s="115"/>
      <x:c r="AB55" s="115"/>
      <x:c r="AC55" s="115"/>
      <x:c r="AD55" s="115"/>
      <x:c r="AE55" s="115"/>
      <x:c r="AF55" s="115"/>
      <x:c r="AG55" s="115"/>
      <x:c r="AH55" s="115"/>
      <x:c r="AI55" s="115"/>
      <x:c r="AJ55" s="115"/>
      <x:c r="AK55" s="115"/>
      <x:c r="AL55" s="115"/>
    </x:row>
    <x:row r="56">
      <x:c r="B56" s="115"/>
      <x:c r="C56" s="115"/>
      <x:c r="D56" s="115"/>
      <x:c r="E56" s="115"/>
      <x:c r="F56" s="115"/>
      <x:c r="G56" s="115"/>
      <x:c r="H56" s="115"/>
      <x:c r="I56" s="115"/>
      <x:c r="J56" s="115"/>
      <x:c r="K56" s="115"/>
      <x:c r="L56" s="115"/>
      <x:c r="M56" s="115"/>
      <x:c r="N56" s="115"/>
      <x:c r="O56" s="115"/>
      <x:c r="P56" s="115"/>
      <x:c r="Q56" s="115"/>
      <x:c r="R56" s="115"/>
      <x:c r="S56" s="115"/>
      <x:c r="T56" s="115"/>
      <x:c r="U56" s="115"/>
      <x:c r="V56" s="115"/>
      <x:c r="W56" s="115"/>
      <x:c r="X56" s="115"/>
      <x:c r="Y56" s="115"/>
      <x:c r="Z56" s="115"/>
      <x:c r="AA56" s="115"/>
      <x:c r="AB56" s="115"/>
      <x:c r="AC56" s="115"/>
      <x:c r="AD56" s="115"/>
      <x:c r="AE56" s="115"/>
      <x:c r="AF56" s="115"/>
      <x:c r="AG56" s="115"/>
      <x:c r="AH56" s="115"/>
      <x:c r="AI56" s="115"/>
      <x:c r="AJ56" s="115"/>
      <x:c r="AK56" s="115"/>
      <x:c r="AL56" s="115"/>
    </x:row>
    <x:row r="57">
      <x:c r="B57" s="115"/>
      <x:c r="C57" s="115"/>
      <x:c r="D57" s="115"/>
      <x:c r="E57" s="115"/>
      <x:c r="F57" s="115"/>
      <x:c r="G57" s="115"/>
      <x:c r="H57" s="115"/>
      <x:c r="I57" s="115"/>
      <x:c r="J57" s="115"/>
      <x:c r="K57" s="115"/>
      <x:c r="L57" s="115"/>
      <x:c r="M57" s="115"/>
      <x:c r="N57" s="115"/>
      <x:c r="O57" s="115"/>
      <x:c r="P57" s="115"/>
      <x:c r="Q57" s="115"/>
      <x:c r="R57" s="115"/>
      <x:c r="S57" s="115"/>
      <x:c r="T57" s="115"/>
      <x:c r="U57" s="115"/>
      <x:c r="V57" s="115"/>
      <x:c r="W57" s="115"/>
      <x:c r="X57" s="115"/>
      <x:c r="Y57" s="115"/>
      <x:c r="Z57" s="115"/>
      <x:c r="AA57" s="115"/>
      <x:c r="AB57" s="115"/>
      <x:c r="AC57" s="115"/>
      <x:c r="AD57" s="115"/>
      <x:c r="AE57" s="115"/>
      <x:c r="AF57" s="115"/>
      <x:c r="AG57" s="115"/>
      <x:c r="AH57" s="115"/>
      <x:c r="AI57" s="115"/>
      <x:c r="AJ57" s="115"/>
      <x:c r="AK57" s="115"/>
      <x:c r="AL57" s="115"/>
    </x:row>
    <x:row r="58">
      <x:c r="B58" s="115"/>
      <x:c r="C58" s="115"/>
      <x:c r="D58" s="115"/>
      <x:c r="E58" s="115"/>
      <x:c r="F58" s="115"/>
      <x:c r="G58" s="115"/>
      <x:c r="H58" s="115"/>
      <x:c r="I58" s="115"/>
      <x:c r="J58" s="115"/>
      <x:c r="K58" s="115"/>
      <x:c r="L58" s="115"/>
      <x:c r="M58" s="115"/>
      <x:c r="N58" s="115"/>
      <x:c r="O58" s="115"/>
      <x:c r="P58" s="115"/>
      <x:c r="Q58" s="115"/>
      <x:c r="R58" s="115"/>
      <x:c r="S58" s="115"/>
      <x:c r="T58" s="115"/>
      <x:c r="U58" s="115"/>
      <x:c r="V58" s="115"/>
      <x:c r="W58" s="115"/>
      <x:c r="X58" s="115"/>
      <x:c r="Y58" s="115"/>
      <x:c r="Z58" s="115"/>
      <x:c r="AA58" s="115"/>
      <x:c r="AB58" s="115"/>
      <x:c r="AC58" s="115"/>
      <x:c r="AD58" s="115"/>
      <x:c r="AE58" s="115"/>
      <x:c r="AF58" s="115"/>
      <x:c r="AG58" s="115"/>
      <x:c r="AH58" s="115"/>
      <x:c r="AI58" s="115"/>
      <x:c r="AJ58" s="115"/>
      <x:c r="AK58" s="115"/>
      <x:c r="AL58" s="115"/>
    </x:row>
    <x:row r="59">
      <x:c r="B59" s="115"/>
      <x:c r="C59" s="115"/>
      <x:c r="D59" s="115"/>
      <x:c r="E59" s="115"/>
      <x:c r="F59" s="115"/>
      <x:c r="G59" s="115"/>
      <x:c r="H59" s="115"/>
      <x:c r="I59" s="115"/>
      <x:c r="J59" s="115"/>
      <x:c r="K59" s="115"/>
      <x:c r="L59" s="115"/>
      <x:c r="M59" s="115"/>
      <x:c r="N59" s="115"/>
      <x:c r="O59" s="115"/>
      <x:c r="P59" s="115"/>
      <x:c r="Q59" s="115"/>
      <x:c r="R59" s="115"/>
      <x:c r="S59" s="115"/>
      <x:c r="T59" s="115"/>
      <x:c r="U59" s="115"/>
      <x:c r="V59" s="115"/>
      <x:c r="W59" s="115"/>
      <x:c r="X59" s="115"/>
      <x:c r="Y59" s="115"/>
      <x:c r="Z59" s="115"/>
      <x:c r="AA59" s="115"/>
      <x:c r="AB59" s="115"/>
      <x:c r="AC59" s="115"/>
      <x:c r="AD59" s="115"/>
      <x:c r="AE59" s="115"/>
      <x:c r="AF59" s="115"/>
      <x:c r="AG59" s="115"/>
      <x:c r="AH59" s="115"/>
      <x:c r="AI59" s="115"/>
      <x:c r="AJ59" s="115"/>
      <x:c r="AK59" s="115"/>
      <x:c r="AL59" s="115"/>
    </x:row>
    <x:row r="60">
      <x:c r="B60" s="115"/>
      <x:c r="C60" s="115"/>
      <x:c r="D60" s="115"/>
      <x:c r="E60" s="115"/>
      <x:c r="F60" s="115"/>
      <x:c r="G60" s="115"/>
      <x:c r="H60" s="115"/>
      <x:c r="I60" s="115"/>
      <x:c r="J60" s="115"/>
      <x:c r="K60" s="115"/>
      <x:c r="L60" s="115"/>
      <x:c r="M60" s="115"/>
      <x:c r="N60" s="115"/>
      <x:c r="O60" s="115"/>
      <x:c r="P60" s="115"/>
      <x:c r="Q60" s="115"/>
      <x:c r="R60" s="115"/>
      <x:c r="S60" s="115"/>
      <x:c r="T60" s="115"/>
      <x:c r="U60" s="115"/>
      <x:c r="V60" s="115"/>
      <x:c r="W60" s="115"/>
      <x:c r="X60" s="115"/>
      <x:c r="Y60" s="115"/>
      <x:c r="Z60" s="115"/>
      <x:c r="AA60" s="115"/>
      <x:c r="AB60" s="115"/>
      <x:c r="AC60" s="115"/>
      <x:c r="AD60" s="115"/>
      <x:c r="AE60" s="115"/>
      <x:c r="AF60" s="115"/>
      <x:c r="AG60" s="115"/>
      <x:c r="AH60" s="115"/>
      <x:c r="AI60" s="115"/>
      <x:c r="AJ60" s="115"/>
      <x:c r="AK60" s="115"/>
      <x:c r="AL60" s="115"/>
    </x:row>
    <x:row r="61">
      <x:c r="B61" s="115"/>
      <x:c r="C61" s="115"/>
      <x:c r="D61" s="115"/>
      <x:c r="E61" s="115"/>
      <x:c r="F61" s="115"/>
      <x:c r="G61" s="115"/>
      <x:c r="H61" s="115"/>
      <x:c r="I61" s="115"/>
      <x:c r="J61" s="115"/>
      <x:c r="K61" s="115"/>
      <x:c r="L61" s="115"/>
      <x:c r="M61" s="115"/>
      <x:c r="N61" s="115"/>
      <x:c r="O61" s="115"/>
      <x:c r="P61" s="115"/>
      <x:c r="Q61" s="115"/>
      <x:c r="R61" s="115"/>
      <x:c r="S61" s="115"/>
      <x:c r="T61" s="115"/>
      <x:c r="U61" s="115"/>
      <x:c r="V61" s="115"/>
      <x:c r="W61" s="115"/>
      <x:c r="X61" s="115"/>
      <x:c r="Y61" s="115"/>
      <x:c r="Z61" s="115"/>
      <x:c r="AA61" s="115"/>
      <x:c r="AB61" s="115"/>
      <x:c r="AC61" s="115"/>
      <x:c r="AD61" s="115"/>
      <x:c r="AE61" s="115"/>
      <x:c r="AF61" s="115"/>
      <x:c r="AG61" s="115"/>
      <x:c r="AH61" s="115"/>
      <x:c r="AI61" s="115"/>
      <x:c r="AJ61" s="115"/>
      <x:c r="AK61" s="115"/>
      <x:c r="AL61" s="115"/>
    </x:row>
    <x:row r="62">
      <x:c r="B62" s="115"/>
      <x:c r="C62" s="115"/>
      <x:c r="D62" s="115"/>
      <x:c r="E62" s="115"/>
      <x:c r="F62" s="115"/>
      <x:c r="G62" s="115"/>
      <x:c r="H62" s="115"/>
      <x:c r="I62" s="115"/>
      <x:c r="J62" s="115"/>
      <x:c r="K62" s="115"/>
      <x:c r="L62" s="115"/>
      <x:c r="M62" s="115"/>
      <x:c r="N62" s="115"/>
      <x:c r="O62" s="115"/>
      <x:c r="P62" s="115"/>
      <x:c r="Q62" s="115"/>
      <x:c r="R62" s="115"/>
      <x:c r="S62" s="115"/>
      <x:c r="T62" s="115"/>
      <x:c r="U62" s="115"/>
      <x:c r="V62" s="115"/>
      <x:c r="W62" s="115"/>
      <x:c r="X62" s="115"/>
      <x:c r="Y62" s="115"/>
      <x:c r="Z62" s="115"/>
      <x:c r="AA62" s="115"/>
      <x:c r="AB62" s="115"/>
      <x:c r="AC62" s="115"/>
      <x:c r="AD62" s="115"/>
      <x:c r="AE62" s="115"/>
      <x:c r="AF62" s="115"/>
      <x:c r="AG62" s="115"/>
      <x:c r="AH62" s="115"/>
      <x:c r="AI62" s="115"/>
      <x:c r="AJ62" s="115"/>
      <x:c r="AK62" s="115"/>
      <x:c r="AL62" s="115"/>
    </x:row>
    <x:row r="63">
      <x:c r="B63" s="115"/>
      <x:c r="C63" s="115"/>
      <x:c r="D63" s="115"/>
      <x:c r="E63" s="115"/>
      <x:c r="F63" s="115"/>
      <x:c r="G63" s="115"/>
      <x:c r="H63" s="115"/>
      <x:c r="I63" s="115"/>
      <x:c r="J63" s="115"/>
      <x:c r="K63" s="115"/>
      <x:c r="L63" s="115"/>
      <x:c r="M63" s="115"/>
      <x:c r="N63" s="115"/>
      <x:c r="O63" s="115"/>
      <x:c r="P63" s="115"/>
      <x:c r="Q63" s="115"/>
      <x:c r="R63" s="115"/>
      <x:c r="S63" s="115"/>
      <x:c r="T63" s="115"/>
      <x:c r="U63" s="115"/>
      <x:c r="V63" s="115"/>
      <x:c r="W63" s="115"/>
      <x:c r="X63" s="115"/>
      <x:c r="Y63" s="115"/>
      <x:c r="Z63" s="115"/>
      <x:c r="AA63" s="115"/>
      <x:c r="AB63" s="115"/>
      <x:c r="AC63" s="115"/>
      <x:c r="AD63" s="115"/>
      <x:c r="AE63" s="115"/>
      <x:c r="AF63" s="115"/>
      <x:c r="AG63" s="115"/>
      <x:c r="AH63" s="115"/>
      <x:c r="AI63" s="115"/>
      <x:c r="AJ63" s="115"/>
      <x:c r="AK63" s="115"/>
      <x:c r="AL63" s="115"/>
    </x:row>
    <x:row r="64">
      <x:c r="B64" s="115"/>
      <x:c r="C64" s="115"/>
      <x:c r="D64" s="115"/>
      <x:c r="E64" s="115"/>
      <x:c r="F64" s="115"/>
      <x:c r="G64" s="115"/>
      <x:c r="H64" s="115"/>
      <x:c r="I64" s="115"/>
      <x:c r="J64" s="115"/>
      <x:c r="K64" s="115"/>
      <x:c r="L64" s="115"/>
      <x:c r="M64" s="115"/>
      <x:c r="N64" s="115"/>
      <x:c r="O64" s="115"/>
      <x:c r="P64" s="115"/>
      <x:c r="Q64" s="115"/>
      <x:c r="R64" s="115"/>
      <x:c r="S64" s="115"/>
      <x:c r="T64" s="115"/>
      <x:c r="U64" s="115"/>
      <x:c r="V64" s="115"/>
      <x:c r="W64" s="115"/>
      <x:c r="X64" s="115"/>
      <x:c r="Y64" s="115"/>
      <x:c r="Z64" s="115"/>
      <x:c r="AA64" s="115"/>
      <x:c r="AB64" s="115"/>
      <x:c r="AC64" s="115"/>
      <x:c r="AD64" s="115"/>
      <x:c r="AE64" s="115"/>
      <x:c r="AF64" s="115"/>
      <x:c r="AG64" s="115"/>
      <x:c r="AH64" s="115"/>
      <x:c r="AI64" s="115"/>
      <x:c r="AJ64" s="115"/>
      <x:c r="AK64" s="115"/>
      <x:c r="AL64" s="115"/>
    </x:row>
    <x:row r="65">
      <x:c r="B65" s="115"/>
      <x:c r="C65" s="115"/>
      <x:c r="D65" s="115"/>
      <x:c r="E65" s="115"/>
      <x:c r="F65" s="115"/>
      <x:c r="G65" s="115"/>
      <x:c r="H65" s="115"/>
      <x:c r="I65" s="115"/>
      <x:c r="J65" s="115"/>
      <x:c r="K65" s="115"/>
      <x:c r="L65" s="115"/>
      <x:c r="M65" s="115"/>
      <x:c r="N65" s="115"/>
      <x:c r="O65" s="115"/>
      <x:c r="P65" s="115"/>
      <x:c r="Q65" s="115"/>
      <x:c r="R65" s="115"/>
      <x:c r="S65" s="115"/>
      <x:c r="T65" s="115"/>
      <x:c r="U65" s="115"/>
      <x:c r="V65" s="115"/>
      <x:c r="W65" s="115"/>
      <x:c r="X65" s="115"/>
      <x:c r="Y65" s="115"/>
      <x:c r="Z65" s="115"/>
      <x:c r="AA65" s="115"/>
      <x:c r="AB65" s="115"/>
      <x:c r="AC65" s="115"/>
      <x:c r="AD65" s="115"/>
      <x:c r="AE65" s="115"/>
      <x:c r="AF65" s="115"/>
      <x:c r="AG65" s="115"/>
      <x:c r="AH65" s="115"/>
      <x:c r="AI65" s="115"/>
      <x:c r="AJ65" s="115"/>
      <x:c r="AK65" s="115"/>
      <x:c r="AL65" s="115"/>
    </x:row>
    <x:row r="66">
      <x:c r="B66" s="115"/>
      <x:c r="C66" s="115"/>
      <x:c r="D66" s="115"/>
      <x:c r="E66" s="115"/>
      <x:c r="F66" s="115"/>
      <x:c r="G66" s="115"/>
      <x:c r="H66" s="115"/>
      <x:c r="I66" s="115"/>
      <x:c r="J66" s="115"/>
      <x:c r="K66" s="115"/>
      <x:c r="L66" s="115"/>
      <x:c r="M66" s="115"/>
      <x:c r="N66" s="115"/>
      <x:c r="O66" s="115"/>
      <x:c r="P66" s="115"/>
      <x:c r="Q66" s="115"/>
      <x:c r="R66" s="115"/>
      <x:c r="S66" s="115"/>
      <x:c r="T66" s="115"/>
      <x:c r="U66" s="115"/>
      <x:c r="V66" s="115"/>
      <x:c r="W66" s="115"/>
      <x:c r="X66" s="115"/>
      <x:c r="Y66" s="115"/>
      <x:c r="Z66" s="115"/>
      <x:c r="AA66" s="115"/>
      <x:c r="AB66" s="115"/>
      <x:c r="AC66" s="115"/>
      <x:c r="AD66" s="115"/>
      <x:c r="AE66" s="115"/>
      <x:c r="AF66" s="115"/>
      <x:c r="AG66" s="115"/>
      <x:c r="AH66" s="115"/>
      <x:c r="AI66" s="115"/>
      <x:c r="AJ66" s="115"/>
      <x:c r="AK66" s="115"/>
      <x:c r="AL66" s="115"/>
    </x:row>
    <x:row r="67">
      <x:c r="B67" s="115"/>
      <x:c r="C67" s="115"/>
      <x:c r="D67" s="115"/>
      <x:c r="E67" s="115"/>
      <x:c r="F67" s="115"/>
      <x:c r="G67" s="115"/>
      <x:c r="H67" s="115"/>
      <x:c r="I67" s="115"/>
      <x:c r="J67" s="115"/>
      <x:c r="K67" s="115"/>
      <x:c r="L67" s="115"/>
      <x:c r="M67" s="115"/>
      <x:c r="N67" s="115"/>
      <x:c r="O67" s="115"/>
      <x:c r="P67" s="115"/>
      <x:c r="Q67" s="115"/>
      <x:c r="R67" s="115"/>
      <x:c r="S67" s="115"/>
      <x:c r="T67" s="115"/>
      <x:c r="U67" s="115"/>
      <x:c r="V67" s="115"/>
      <x:c r="W67" s="115"/>
      <x:c r="X67" s="115"/>
      <x:c r="Y67" s="115"/>
      <x:c r="Z67" s="115"/>
      <x:c r="AA67" s="115"/>
      <x:c r="AB67" s="115"/>
      <x:c r="AC67" s="115"/>
      <x:c r="AD67" s="115"/>
      <x:c r="AE67" s="115"/>
      <x:c r="AF67" s="115"/>
      <x:c r="AG67" s="115"/>
      <x:c r="AH67" s="115"/>
      <x:c r="AI67" s="115"/>
      <x:c r="AJ67" s="115"/>
      <x:c r="AK67" s="115"/>
      <x:c r="AL67" s="115"/>
    </x:row>
    <x:row r="68">
      <x:c r="B68" s="115"/>
      <x:c r="C68" s="115"/>
      <x:c r="D68" s="115"/>
      <x:c r="E68" s="115"/>
      <x:c r="F68" s="115"/>
      <x:c r="G68" s="115"/>
      <x:c r="H68" s="115"/>
      <x:c r="I68" s="115"/>
      <x:c r="J68" s="115"/>
      <x:c r="K68" s="115"/>
      <x:c r="L68" s="115"/>
      <x:c r="M68" s="115"/>
      <x:c r="N68" s="115"/>
      <x:c r="O68" s="115"/>
      <x:c r="P68" s="115"/>
      <x:c r="Q68" s="115"/>
      <x:c r="R68" s="115"/>
      <x:c r="S68" s="115"/>
      <x:c r="T68" s="115"/>
      <x:c r="U68" s="115"/>
      <x:c r="V68" s="115"/>
      <x:c r="W68" s="115"/>
      <x:c r="X68" s="115"/>
      <x:c r="Y68" s="115"/>
      <x:c r="Z68" s="115"/>
      <x:c r="AA68" s="115"/>
      <x:c r="AB68" s="115"/>
      <x:c r="AC68" s="115"/>
      <x:c r="AD68" s="115"/>
      <x:c r="AE68" s="115"/>
      <x:c r="AF68" s="115"/>
      <x:c r="AG68" s="115"/>
      <x:c r="AH68" s="115"/>
      <x:c r="AI68" s="115"/>
      <x:c r="AJ68" s="115"/>
      <x:c r="AK68" s="115"/>
      <x:c r="AL68" s="115"/>
    </x:row>
    <x:row r="69">
      <x:c r="B69" s="115"/>
      <x:c r="C69" s="115"/>
      <x:c r="D69" s="115"/>
      <x:c r="E69" s="115"/>
      <x:c r="F69" s="115"/>
      <x:c r="G69" s="115"/>
      <x:c r="H69" s="115"/>
      <x:c r="I69" s="115"/>
      <x:c r="J69" s="115"/>
      <x:c r="K69" s="115"/>
      <x:c r="L69" s="115"/>
      <x:c r="M69" s="115"/>
      <x:c r="N69" s="115"/>
      <x:c r="O69" s="115"/>
      <x:c r="P69" s="115"/>
      <x:c r="Q69" s="115"/>
      <x:c r="R69" s="115"/>
      <x:c r="S69" s="115"/>
      <x:c r="T69" s="115"/>
      <x:c r="U69" s="115"/>
      <x:c r="V69" s="115"/>
      <x:c r="W69" s="115"/>
      <x:c r="X69" s="115"/>
      <x:c r="Y69" s="115"/>
      <x:c r="Z69" s="115"/>
      <x:c r="AA69" s="115"/>
      <x:c r="AB69" s="115"/>
      <x:c r="AC69" s="115"/>
      <x:c r="AD69" s="115"/>
      <x:c r="AE69" s="115"/>
      <x:c r="AF69" s="115"/>
      <x:c r="AG69" s="115"/>
      <x:c r="AH69" s="115"/>
      <x:c r="AI69" s="115"/>
      <x:c r="AJ69" s="115"/>
      <x:c r="AK69" s="115"/>
      <x:c r="AL69" s="115"/>
    </x:row>
    <x:row r="70">
      <x:c r="B70" s="115"/>
      <x:c r="C70" s="115"/>
      <x:c r="D70" s="115"/>
      <x:c r="E70" s="115"/>
      <x:c r="F70" s="115"/>
      <x:c r="G70" s="115"/>
      <x:c r="H70" s="115"/>
      <x:c r="I70" s="115"/>
      <x:c r="J70" s="115"/>
      <x:c r="K70" s="115"/>
      <x:c r="L70" s="115"/>
      <x:c r="M70" s="115"/>
      <x:c r="N70" s="115"/>
      <x:c r="O70" s="115"/>
      <x:c r="P70" s="115"/>
      <x:c r="Q70" s="115"/>
      <x:c r="R70" s="115"/>
      <x:c r="S70" s="115"/>
      <x:c r="T70" s="115"/>
      <x:c r="U70" s="115"/>
      <x:c r="V70" s="115"/>
      <x:c r="W70" s="115"/>
      <x:c r="X70" s="115"/>
      <x:c r="Y70" s="115"/>
      <x:c r="Z70" s="115"/>
      <x:c r="AA70" s="115"/>
      <x:c r="AB70" s="115"/>
      <x:c r="AC70" s="115"/>
      <x:c r="AD70" s="115"/>
      <x:c r="AE70" s="115"/>
      <x:c r="AF70" s="115"/>
      <x:c r="AG70" s="115"/>
      <x:c r="AH70" s="115"/>
      <x:c r="AI70" s="115"/>
      <x:c r="AJ70" s="115"/>
      <x:c r="AK70" s="115"/>
      <x:c r="AL70" s="115"/>
    </x:row>
    <x:row r="71">
      <x:c r="B71" s="115"/>
      <x:c r="C71" s="115"/>
      <x:c r="D71" s="115"/>
      <x:c r="E71" s="115"/>
      <x:c r="F71" s="115"/>
      <x:c r="G71" s="115"/>
      <x:c r="H71" s="115"/>
      <x:c r="I71" s="115"/>
      <x:c r="J71" s="115"/>
      <x:c r="K71" s="115"/>
      <x:c r="L71" s="115"/>
      <x:c r="M71" s="115"/>
      <x:c r="N71" s="115"/>
      <x:c r="O71" s="115"/>
      <x:c r="P71" s="115"/>
      <x:c r="Q71" s="115"/>
      <x:c r="R71" s="115"/>
      <x:c r="S71" s="115"/>
      <x:c r="T71" s="115"/>
      <x:c r="U71" s="115"/>
      <x:c r="V71" s="115"/>
      <x:c r="W71" s="115"/>
      <x:c r="X71" s="115"/>
      <x:c r="Y71" s="115"/>
      <x:c r="Z71" s="115"/>
      <x:c r="AA71" s="115"/>
      <x:c r="AB71" s="115"/>
      <x:c r="AC71" s="115"/>
      <x:c r="AD71" s="115"/>
      <x:c r="AE71" s="115"/>
      <x:c r="AF71" s="115"/>
      <x:c r="AG71" s="115"/>
      <x:c r="AH71" s="115"/>
      <x:c r="AI71" s="115"/>
      <x:c r="AJ71" s="115"/>
      <x:c r="AK71" s="115"/>
      <x:c r="AL71" s="115"/>
    </x:row>
    <x:row r="72">
      <x:c r="B72" s="115"/>
      <x:c r="C72" s="115"/>
      <x:c r="D72" s="115"/>
      <x:c r="E72" s="115"/>
      <x:c r="F72" s="115"/>
      <x:c r="G72" s="115"/>
      <x:c r="H72" s="115"/>
      <x:c r="I72" s="115"/>
      <x:c r="J72" s="115"/>
      <x:c r="K72" s="115"/>
      <x:c r="L72" s="115"/>
      <x:c r="M72" s="115"/>
      <x:c r="N72" s="115"/>
      <x:c r="O72" s="115"/>
      <x:c r="P72" s="115"/>
      <x:c r="Q72" s="115"/>
      <x:c r="R72" s="115"/>
      <x:c r="S72" s="115"/>
      <x:c r="T72" s="115"/>
      <x:c r="U72" s="115"/>
      <x:c r="V72" s="115"/>
      <x:c r="W72" s="115"/>
      <x:c r="X72" s="115"/>
      <x:c r="Y72" s="115"/>
      <x:c r="Z72" s="115"/>
      <x:c r="AA72" s="115"/>
      <x:c r="AB72" s="115"/>
      <x:c r="AC72" s="115"/>
      <x:c r="AD72" s="115"/>
      <x:c r="AE72" s="115"/>
      <x:c r="AF72" s="115"/>
      <x:c r="AG72" s="115"/>
      <x:c r="AH72" s="115"/>
      <x:c r="AI72" s="115"/>
      <x:c r="AJ72" s="115"/>
      <x:c r="AK72" s="115"/>
      <x:c r="AL72" s="115"/>
    </x:row>
    <x:row r="73">
      <x:c r="B73" s="115"/>
      <x:c r="C73" s="115"/>
      <x:c r="D73" s="115"/>
      <x:c r="E73" s="115"/>
      <x:c r="F73" s="115"/>
      <x:c r="G73" s="115"/>
      <x:c r="H73" s="115"/>
      <x:c r="I73" s="115"/>
      <x:c r="J73" s="115"/>
      <x:c r="K73" s="115"/>
      <x:c r="L73" s="115"/>
      <x:c r="M73" s="115"/>
      <x:c r="N73" s="115"/>
      <x:c r="O73" s="115"/>
      <x:c r="P73" s="115"/>
      <x:c r="Q73" s="115"/>
      <x:c r="R73" s="115"/>
      <x:c r="S73" s="115"/>
      <x:c r="T73" s="115"/>
      <x:c r="U73" s="115"/>
      <x:c r="V73" s="115"/>
      <x:c r="W73" s="115"/>
      <x:c r="X73" s="115"/>
      <x:c r="Y73" s="115"/>
      <x:c r="Z73" s="115"/>
      <x:c r="AA73" s="115"/>
      <x:c r="AB73" s="115"/>
      <x:c r="AC73" s="115"/>
      <x:c r="AD73" s="115"/>
      <x:c r="AE73" s="115"/>
      <x:c r="AF73" s="115"/>
      <x:c r="AG73" s="115"/>
      <x:c r="AH73" s="115"/>
      <x:c r="AI73" s="115"/>
      <x:c r="AJ73" s="115"/>
      <x:c r="AK73" s="115"/>
      <x:c r="AL73" s="115"/>
    </x:row>
    <x:row r="74">
      <x:c r="B74" s="115"/>
      <x:c r="C74" s="115"/>
      <x:c r="D74" s="115"/>
      <x:c r="E74" s="115"/>
      <x:c r="F74" s="115"/>
      <x:c r="G74" s="115"/>
      <x:c r="H74" s="115"/>
      <x:c r="I74" s="115"/>
      <x:c r="J74" s="115"/>
      <x:c r="K74" s="115"/>
      <x:c r="L74" s="115"/>
      <x:c r="M74" s="115"/>
      <x:c r="N74" s="115"/>
      <x:c r="O74" s="115"/>
      <x:c r="P74" s="115"/>
      <x:c r="Q74" s="115"/>
      <x:c r="R74" s="115"/>
      <x:c r="S74" s="115"/>
      <x:c r="T74" s="115"/>
      <x:c r="U74" s="115"/>
      <x:c r="V74" s="115"/>
      <x:c r="W74" s="115"/>
      <x:c r="X74" s="115"/>
      <x:c r="Y74" s="115"/>
      <x:c r="Z74" s="115"/>
      <x:c r="AA74" s="115"/>
      <x:c r="AB74" s="115"/>
      <x:c r="AC74" s="115"/>
      <x:c r="AD74" s="115"/>
      <x:c r="AE74" s="115"/>
      <x:c r="AF74" s="115"/>
      <x:c r="AG74" s="115"/>
      <x:c r="AH74" s="115"/>
      <x:c r="AI74" s="115"/>
      <x:c r="AJ74" s="115"/>
      <x:c r="AK74" s="115"/>
      <x:c r="AL74" s="115"/>
    </x:row>
    <x:row r="75">
      <x:c r="B75" s="115"/>
      <x:c r="C75" s="115"/>
      <x:c r="D75" s="115"/>
      <x:c r="E75" s="115"/>
      <x:c r="F75" s="115"/>
      <x:c r="G75" s="115"/>
      <x:c r="H75" s="115"/>
      <x:c r="I75" s="115"/>
      <x:c r="J75" s="115"/>
      <x:c r="K75" s="115"/>
      <x:c r="L75" s="115"/>
      <x:c r="M75" s="115"/>
      <x:c r="N75" s="115"/>
      <x:c r="O75" s="115"/>
      <x:c r="P75" s="115"/>
      <x:c r="Q75" s="115"/>
      <x:c r="R75" s="115"/>
      <x:c r="S75" s="115"/>
      <x:c r="T75" s="115"/>
      <x:c r="U75" s="115"/>
      <x:c r="V75" s="115"/>
      <x:c r="W75" s="115"/>
      <x:c r="X75" s="115"/>
      <x:c r="Y75" s="115"/>
      <x:c r="Z75" s="115"/>
      <x:c r="AA75" s="115"/>
      <x:c r="AB75" s="115"/>
      <x:c r="AC75" s="115"/>
      <x:c r="AD75" s="115"/>
      <x:c r="AE75" s="115"/>
      <x:c r="AF75" s="115"/>
      <x:c r="AG75" s="115"/>
      <x:c r="AH75" s="115"/>
      <x:c r="AI75" s="115"/>
      <x:c r="AJ75" s="115"/>
      <x:c r="AK75" s="115"/>
      <x:c r="AL75" s="115"/>
    </x:row>
    <x:row r="76">
      <x:c r="B76" s="115"/>
      <x:c r="C76" s="115"/>
      <x:c r="D76" s="115"/>
      <x:c r="E76" s="115"/>
      <x:c r="F76" s="115"/>
      <x:c r="G76" s="115"/>
      <x:c r="H76" s="115"/>
      <x:c r="I76" s="115"/>
      <x:c r="J76" s="115"/>
      <x:c r="K76" s="115"/>
      <x:c r="L76" s="115"/>
      <x:c r="M76" s="115"/>
      <x:c r="N76" s="115"/>
      <x:c r="O76" s="115"/>
      <x:c r="P76" s="115"/>
      <x:c r="Q76" s="115"/>
      <x:c r="R76" s="115"/>
      <x:c r="S76" s="115"/>
      <x:c r="T76" s="115"/>
      <x:c r="U76" s="115"/>
      <x:c r="V76" s="115"/>
      <x:c r="W76" s="115"/>
      <x:c r="X76" s="115"/>
      <x:c r="Y76" s="115"/>
      <x:c r="Z76" s="115"/>
      <x:c r="AA76" s="115"/>
      <x:c r="AB76" s="115"/>
      <x:c r="AC76" s="115"/>
      <x:c r="AD76" s="115"/>
      <x:c r="AE76" s="115"/>
      <x:c r="AF76" s="115"/>
      <x:c r="AG76" s="115"/>
      <x:c r="AH76" s="115"/>
      <x:c r="AI76" s="115"/>
      <x:c r="AJ76" s="115"/>
      <x:c r="AK76" s="115"/>
      <x:c r="AL76" s="115"/>
    </x:row>
    <x:row r="77">
      <x:c r="B77" s="115"/>
      <x:c r="C77" s="115"/>
      <x:c r="D77" s="115"/>
      <x:c r="E77" s="115"/>
      <x:c r="F77" s="115"/>
      <x:c r="G77" s="115"/>
      <x:c r="H77" s="115"/>
      <x:c r="I77" s="115"/>
      <x:c r="J77" s="115"/>
      <x:c r="K77" s="115"/>
      <x:c r="L77" s="115"/>
      <x:c r="M77" s="115"/>
      <x:c r="N77" s="115"/>
      <x:c r="O77" s="115"/>
      <x:c r="P77" s="115"/>
      <x:c r="Q77" s="115"/>
      <x:c r="R77" s="115"/>
      <x:c r="S77" s="115"/>
      <x:c r="T77" s="115"/>
      <x:c r="U77" s="115"/>
      <x:c r="V77" s="115"/>
      <x:c r="W77" s="115"/>
      <x:c r="X77" s="115"/>
      <x:c r="Y77" s="115"/>
      <x:c r="Z77" s="115"/>
      <x:c r="AA77" s="115"/>
      <x:c r="AB77" s="115"/>
      <x:c r="AC77" s="115"/>
      <x:c r="AD77" s="115"/>
      <x:c r="AE77" s="115"/>
      <x:c r="AF77" s="115"/>
      <x:c r="AG77" s="115"/>
      <x:c r="AH77" s="115"/>
      <x:c r="AI77" s="115"/>
      <x:c r="AJ77" s="115"/>
      <x:c r="AK77" s="115"/>
      <x:c r="AL77" s="115"/>
    </x:row>
    <x:row r="78">
      <x:c r="B78" s="115"/>
      <x:c r="C78" s="115"/>
      <x:c r="D78" s="115"/>
      <x:c r="E78" s="115"/>
      <x:c r="F78" s="115"/>
      <x:c r="G78" s="115"/>
      <x:c r="H78" s="115"/>
      <x:c r="I78" s="115"/>
      <x:c r="J78" s="115"/>
      <x:c r="K78" s="115"/>
      <x:c r="L78" s="115"/>
      <x:c r="M78" s="115"/>
      <x:c r="N78" s="115"/>
      <x:c r="O78" s="115"/>
      <x:c r="P78" s="115"/>
      <x:c r="Q78" s="115"/>
      <x:c r="R78" s="115"/>
      <x:c r="S78" s="115"/>
      <x:c r="T78" s="115"/>
      <x:c r="U78" s="115"/>
      <x:c r="V78" s="115"/>
      <x:c r="W78" s="115"/>
      <x:c r="X78" s="115"/>
      <x:c r="Y78" s="115"/>
      <x:c r="Z78" s="115"/>
      <x:c r="AA78" s="115"/>
      <x:c r="AB78" s="115"/>
      <x:c r="AC78" s="115"/>
      <x:c r="AD78" s="115"/>
      <x:c r="AE78" s="115"/>
      <x:c r="AF78" s="115"/>
      <x:c r="AG78" s="115"/>
      <x:c r="AH78" s="115"/>
      <x:c r="AI78" s="115"/>
      <x:c r="AJ78" s="115"/>
      <x:c r="AK78" s="115"/>
      <x:c r="AL78" s="115"/>
    </x:row>
    <x:row r="79">
      <x:c r="B79" s="115"/>
      <x:c r="C79" s="115"/>
      <x:c r="D79" s="115"/>
      <x:c r="E79" s="115"/>
      <x:c r="F79" s="115"/>
      <x:c r="G79" s="115"/>
      <x:c r="H79" s="115"/>
      <x:c r="I79" s="115"/>
      <x:c r="J79" s="115"/>
      <x:c r="K79" s="115"/>
      <x:c r="L79" s="115"/>
      <x:c r="M79" s="115"/>
      <x:c r="N79" s="115"/>
      <x:c r="O79" s="115"/>
      <x:c r="P79" s="115"/>
      <x:c r="Q79" s="115"/>
      <x:c r="R79" s="115"/>
      <x:c r="S79" s="115"/>
      <x:c r="T79" s="115"/>
      <x:c r="U79" s="115"/>
      <x:c r="V79" s="115"/>
      <x:c r="W79" s="115"/>
      <x:c r="X79" s="115"/>
      <x:c r="Y79" s="115"/>
      <x:c r="Z79" s="115"/>
      <x:c r="AA79" s="115"/>
      <x:c r="AB79" s="115"/>
      <x:c r="AC79" s="115"/>
      <x:c r="AD79" s="115"/>
      <x:c r="AE79" s="115"/>
      <x:c r="AF79" s="115"/>
      <x:c r="AG79" s="115"/>
      <x:c r="AH79" s="115"/>
      <x:c r="AI79" s="115"/>
      <x:c r="AJ79" s="115"/>
      <x:c r="AK79" s="115"/>
      <x:c r="AL79" s="115"/>
    </x:row>
    <x:row r="80">
      <x:c r="B80" s="115"/>
      <x:c r="C80" s="115"/>
      <x:c r="D80" s="115"/>
      <x:c r="E80" s="115"/>
      <x:c r="F80" s="115"/>
      <x:c r="G80" s="115"/>
      <x:c r="H80" s="115"/>
      <x:c r="I80" s="115"/>
      <x:c r="J80" s="115"/>
      <x:c r="K80" s="115"/>
      <x:c r="L80" s="115"/>
      <x:c r="M80" s="115"/>
      <x:c r="N80" s="115"/>
      <x:c r="O80" s="115"/>
      <x:c r="P80" s="115"/>
      <x:c r="Q80" s="115"/>
      <x:c r="R80" s="115"/>
      <x:c r="S80" s="115"/>
      <x:c r="T80" s="115"/>
      <x:c r="U80" s="115"/>
      <x:c r="V80" s="115"/>
      <x:c r="W80" s="115"/>
      <x:c r="X80" s="115"/>
      <x:c r="Y80" s="115"/>
      <x:c r="Z80" s="115"/>
      <x:c r="AA80" s="115"/>
      <x:c r="AB80" s="115"/>
      <x:c r="AC80" s="115"/>
      <x:c r="AD80" s="115"/>
      <x:c r="AE80" s="115"/>
      <x:c r="AF80" s="115"/>
      <x:c r="AG80" s="115"/>
      <x:c r="AH80" s="115"/>
      <x:c r="AI80" s="115"/>
      <x:c r="AJ80" s="115"/>
      <x:c r="AK80" s="115"/>
      <x:c r="AL80" s="115"/>
    </x:row>
  </x:sheetData>
  <x:mergeCells>
    <x:mergeCell ref="B2:H2"/>
    <x:mergeCell ref="B3:H5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2" max="2" width="39" hidden="0" customWidth="1"/>
    <x:col min="3" max="3" width="14" hidden="0" customWidth="1"/>
    <x:col min="4" max="4" width="14" hidden="0" customWidth="1"/>
    <x:col min="5" max="5" width="60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14" hidden="0" customWidth="1"/>
    <x:col min="33" max="33" width="14" hidden="0" customWidth="1"/>
    <x:col min="34" max="34" width="14" hidden="0" customWidth="1"/>
    <x:col min="35" max="35" width="14" hidden="0" customWidth="1"/>
    <x:col min="36" max="36" width="14" hidden="0" customWidth="1"/>
    <x:col min="37" max="37" width="14" hidden="0" customWidth="1"/>
    <x:col min="38" max="38" width="14" hidden="0" customWidth="1"/>
  </x:cols>
  <x:sheetData>
    <x:row r="1">
      <x:c r="B1" s="115"/>
      <x:c r="C1" s="115"/>
      <x:c r="D1" s="115"/>
      <x:c r="E1" s="115"/>
      <x:c r="F1" s="115"/>
      <x:c r="G1" s="115"/>
      <x:c r="H1" s="115"/>
      <x:c r="I1" s="115"/>
      <x:c r="J1" s="115"/>
      <x:c r="K1" s="115"/>
      <x:c r="L1" s="115"/>
      <x:c r="M1" s="115"/>
      <x:c r="N1" s="115"/>
      <x:c r="O1" s="115"/>
      <x:c r="P1" s="115"/>
      <x:c r="Q1" s="115"/>
      <x:c r="R1" s="115"/>
      <x:c r="S1" s="115"/>
      <x:c r="T1" s="115"/>
      <x:c r="U1" s="115"/>
      <x:c r="V1" s="115"/>
      <x:c r="W1" s="115"/>
      <x:c r="X1" s="115"/>
      <x:c r="Y1" s="115"/>
      <x:c r="Z1" s="115"/>
      <x:c r="AA1" s="115"/>
      <x:c r="AB1" s="115"/>
      <x:c r="AC1" s="115"/>
      <x:c r="AD1" s="115"/>
      <x:c r="AE1" s="115"/>
      <x:c r="AF1" s="115"/>
      <x:c r="AG1" s="115"/>
      <x:c r="AH1" s="115"/>
      <x:c r="AI1" s="115"/>
      <x:c r="AJ1" s="115"/>
      <x:c r="AK1" s="115"/>
      <x:c r="AL1" s="115"/>
    </x:row>
    <x:row r="2" ht="30" customHeight="1">
      <x:c r="B2" s="149" t="str">
        <x:v>Unit economics and cost ownership</x:v>
      </x:c>
      <x:c r="C2" s="149"/>
      <x:c r="D2" s="149"/>
      <x:c r="E2" s="149"/>
      <x:c r="F2" s="149"/>
      <x:c r="G2" s="149"/>
      <x:c r="H2" s="149"/>
      <x:c r="I2" s="115"/>
      <x:c r="J2" s="115"/>
      <x:c r="K2" s="115"/>
      <x:c r="L2" s="115"/>
      <x:c r="M2" s="115"/>
      <x:c r="N2" s="115"/>
      <x:c r="O2" s="115"/>
      <x:c r="P2" s="115"/>
      <x:c r="Q2" s="115"/>
      <x:c r="R2" s="115"/>
      <x:c r="S2" s="115"/>
      <x:c r="T2" s="115"/>
      <x:c r="U2" s="115"/>
      <x:c r="V2" s="115"/>
      <x:c r="W2" s="115"/>
      <x:c r="X2" s="115"/>
      <x:c r="Y2" s="115"/>
      <x:c r="Z2" s="115"/>
      <x:c r="AA2" s="115"/>
      <x:c r="AB2" s="115"/>
      <x:c r="AC2" s="115"/>
      <x:c r="AD2" s="115"/>
      <x:c r="AE2" s="115"/>
      <x:c r="AF2" s="115"/>
      <x:c r="AG2" s="115"/>
      <x:c r="AH2" s="115"/>
      <x:c r="AI2" s="115"/>
      <x:c r="AJ2" s="115"/>
      <x:c r="AK2" s="115"/>
      <x:c r="AL2" s="115"/>
    </x:row>
    <x:row r="3" ht="22" customHeight="1">
      <x:c r="B3" s="152" t="str">
        <x:v>Verified cohort data or explicitly approved estimates only. Blank inputs produce n.a. Fixed and incremental costs must not overlap.</x:v>
      </x:c>
      <x:c r="C3" s="152"/>
      <x:c r="D3" s="152"/>
      <x:c r="E3" s="152"/>
      <x:c r="F3" s="152"/>
      <x:c r="G3" s="152"/>
      <x:c r="H3" s="152"/>
      <x:c r="I3" s="115"/>
      <x:c r="J3" s="115"/>
      <x:c r="K3" s="115"/>
      <x:c r="L3" s="115"/>
      <x:c r="M3" s="115"/>
      <x:c r="N3" s="115"/>
      <x:c r="O3" s="115"/>
      <x:c r="P3" s="115"/>
      <x:c r="Q3" s="115"/>
      <x:c r="R3" s="115"/>
      <x:c r="S3" s="115"/>
      <x:c r="T3" s="115"/>
      <x:c r="U3" s="115"/>
      <x:c r="V3" s="115"/>
      <x:c r="W3" s="115"/>
      <x:c r="X3" s="115"/>
      <x:c r="Y3" s="115"/>
      <x:c r="Z3" s="115"/>
      <x:c r="AA3" s="115"/>
      <x:c r="AB3" s="115"/>
      <x:c r="AC3" s="115"/>
      <x:c r="AD3" s="115"/>
      <x:c r="AE3" s="115"/>
      <x:c r="AF3" s="115"/>
      <x:c r="AG3" s="115"/>
      <x:c r="AH3" s="115"/>
      <x:c r="AI3" s="115"/>
      <x:c r="AJ3" s="115"/>
      <x:c r="AK3" s="115"/>
      <x:c r="AL3" s="115"/>
    </x:row>
    <x:row r="4" ht="22" customHeight="1">
      <x:c r="B4" s="152"/>
      <x:c r="C4" s="152"/>
      <x:c r="D4" s="152"/>
      <x:c r="E4" s="152"/>
      <x:c r="F4" s="152"/>
      <x:c r="G4" s="152"/>
      <x:c r="H4" s="152"/>
      <x:c r="I4" s="115"/>
      <x:c r="J4" s="115"/>
      <x:c r="K4" s="115"/>
      <x:c r="L4" s="115"/>
      <x:c r="M4" s="115"/>
      <x:c r="N4" s="115"/>
      <x:c r="O4" s="115"/>
      <x:c r="P4" s="115"/>
      <x:c r="Q4" s="115"/>
      <x:c r="R4" s="115"/>
      <x:c r="S4" s="115"/>
      <x:c r="T4" s="115"/>
      <x:c r="U4" s="115"/>
      <x:c r="V4" s="115"/>
      <x:c r="W4" s="115"/>
      <x:c r="X4" s="115"/>
      <x:c r="Y4" s="115"/>
      <x:c r="Z4" s="115"/>
      <x:c r="AA4" s="115"/>
      <x:c r="AB4" s="115"/>
      <x:c r="AC4" s="115"/>
      <x:c r="AD4" s="115"/>
      <x:c r="AE4" s="115"/>
      <x:c r="AF4" s="115"/>
      <x:c r="AG4" s="115"/>
      <x:c r="AH4" s="115"/>
      <x:c r="AI4" s="115"/>
      <x:c r="AJ4" s="115"/>
      <x:c r="AK4" s="115"/>
      <x:c r="AL4" s="115"/>
    </x:row>
    <x:row r="5" ht="22" customHeight="1">
      <x:c r="B5" s="152"/>
      <x:c r="C5" s="152"/>
      <x:c r="D5" s="152"/>
      <x:c r="E5" s="152"/>
      <x:c r="F5" s="152"/>
      <x:c r="G5" s="152"/>
      <x:c r="H5" s="152"/>
      <x:c r="I5" s="115"/>
      <x:c r="J5" s="115"/>
      <x:c r="K5" s="115"/>
      <x:c r="L5" s="115"/>
      <x:c r="M5" s="115"/>
      <x:c r="N5" s="115"/>
      <x:c r="O5" s="115"/>
      <x:c r="P5" s="115"/>
      <x:c r="Q5" s="115"/>
      <x:c r="R5" s="115"/>
      <x:c r="S5" s="115"/>
      <x:c r="T5" s="115"/>
      <x:c r="U5" s="115"/>
      <x:c r="V5" s="115"/>
      <x:c r="W5" s="115"/>
      <x:c r="X5" s="115"/>
      <x:c r="Y5" s="115"/>
      <x:c r="Z5" s="115"/>
      <x:c r="AA5" s="115"/>
      <x:c r="AB5" s="115"/>
      <x:c r="AC5" s="115"/>
      <x:c r="AD5" s="115"/>
      <x:c r="AE5" s="115"/>
      <x:c r="AF5" s="115"/>
      <x:c r="AG5" s="115"/>
      <x:c r="AH5" s="115"/>
      <x:c r="AI5" s="115"/>
      <x:c r="AJ5" s="115"/>
      <x:c r="AK5" s="115"/>
      <x:c r="AL5" s="115"/>
    </x:row>
    <x:row r="6">
      <x:c r="B6" s="115"/>
      <x:c r="C6" s="115"/>
      <x:c r="D6" s="115"/>
      <x:c r="E6" s="115"/>
      <x:c r="F6" s="115"/>
      <x:c r="G6" s="115"/>
      <x:c r="H6" s="115"/>
      <x:c r="I6" s="115"/>
      <x:c r="J6" s="115"/>
      <x:c r="K6" s="115"/>
      <x:c r="L6" s="115"/>
      <x:c r="M6" s="115"/>
      <x:c r="N6" s="115"/>
      <x:c r="O6" s="115"/>
      <x:c r="P6" s="115"/>
      <x:c r="Q6" s="115"/>
      <x:c r="R6" s="115"/>
      <x:c r="S6" s="115"/>
      <x:c r="T6" s="115"/>
      <x:c r="U6" s="115"/>
      <x:c r="V6" s="115"/>
      <x:c r="W6" s="115"/>
      <x:c r="X6" s="115"/>
      <x:c r="Y6" s="115"/>
      <x:c r="Z6" s="115"/>
      <x:c r="AA6" s="115"/>
      <x:c r="AB6" s="115"/>
      <x:c r="AC6" s="115"/>
      <x:c r="AD6" s="115"/>
      <x:c r="AE6" s="115"/>
      <x:c r="AF6" s="115"/>
      <x:c r="AG6" s="115"/>
      <x:c r="AH6" s="115"/>
      <x:c r="AI6" s="115"/>
      <x:c r="AJ6" s="115"/>
      <x:c r="AK6" s="115"/>
      <x:c r="AL6" s="115"/>
    </x:row>
    <x:row r="7">
      <x:c r="B7" s="171" t="str">
        <x:v>Metric</x:v>
      </x:c>
      <x:c r="C7" s="171" t="str">
        <x:v>Institution</x:v>
      </x:c>
      <x:c r="D7" s="171" t="str">
        <x:v>Standalone SaaS</x:v>
      </x:c>
      <x:c r="E7" s="171" t="str">
        <x:v>Source / definition</x:v>
      </x:c>
      <x:c r="F7" s="115"/>
      <x:c r="G7" s="115"/>
      <x:c r="H7" s="115"/>
      <x:c r="I7" s="115"/>
      <x:c r="J7" s="115"/>
      <x:c r="K7" s="115"/>
      <x:c r="L7" s="115"/>
      <x:c r="M7" s="115"/>
      <x:c r="N7" s="115"/>
      <x:c r="O7" s="115"/>
      <x:c r="P7" s="115"/>
      <x:c r="Q7" s="115"/>
      <x:c r="R7" s="115"/>
      <x:c r="S7" s="115"/>
      <x:c r="T7" s="115"/>
      <x:c r="U7" s="115"/>
      <x:c r="V7" s="115"/>
      <x:c r="W7" s="115"/>
      <x:c r="X7" s="115"/>
      <x:c r="Y7" s="115"/>
      <x:c r="Z7" s="115"/>
      <x:c r="AA7" s="115"/>
      <x:c r="AB7" s="115"/>
      <x:c r="AC7" s="115"/>
      <x:c r="AD7" s="115"/>
      <x:c r="AE7" s="115"/>
      <x:c r="AF7" s="115"/>
      <x:c r="AG7" s="115"/>
      <x:c r="AH7" s="115"/>
      <x:c r="AI7" s="115"/>
      <x:c r="AJ7" s="115"/>
      <x:c r="AK7" s="115"/>
      <x:c r="AL7" s="115"/>
    </x:row>
    <x:row r="8" ht="36" customHeight="1">
      <x:c r="B8" s="116" t="str">
        <x:v>Monthly price</x:v>
      </x:c>
      <x:c r="C8" s="167" t="n">
        <x:v>3000</x:v>
      </x:c>
      <x:c r="D8" s="167" t="n">
        <x:v>990</x:v>
      </x:c>
      <x:c r="E8" s="116" t="str">
        <x:v>Planning price, not a signed contract</x:v>
      </x:c>
      <x:c r="F8" s="115"/>
      <x:c r="G8" s="115"/>
      <x:c r="H8" s="115"/>
      <x:c r="I8" s="115"/>
      <x:c r="J8" s="115"/>
      <x:c r="K8" s="115"/>
      <x:c r="L8" s="115"/>
      <x:c r="M8" s="115"/>
      <x:c r="N8" s="115"/>
      <x:c r="O8" s="115"/>
      <x:c r="P8" s="115"/>
      <x:c r="Q8" s="115"/>
      <x:c r="R8" s="115"/>
      <x:c r="S8" s="115"/>
      <x:c r="T8" s="115"/>
      <x:c r="U8" s="115"/>
      <x:c r="V8" s="115"/>
      <x:c r="W8" s="115"/>
      <x:c r="X8" s="115"/>
      <x:c r="Y8" s="115"/>
      <x:c r="Z8" s="115"/>
      <x:c r="AA8" s="115"/>
      <x:c r="AB8" s="115"/>
      <x:c r="AC8" s="115"/>
      <x:c r="AD8" s="115"/>
      <x:c r="AE8" s="115"/>
      <x:c r="AF8" s="115"/>
      <x:c r="AG8" s="115"/>
      <x:c r="AH8" s="115"/>
      <x:c r="AI8" s="115"/>
      <x:c r="AJ8" s="115"/>
      <x:c r="AK8" s="115"/>
      <x:c r="AL8" s="115"/>
    </x:row>
    <x:row r="9" ht="36" customHeight="1">
      <x:c r="B9" s="116" t="str">
        <x:v>Direct hours / account</x:v>
      </x:c>
      <x:c r="C9" s="168"/>
      <x:c r="D9" s="168"/>
      <x:c r="E9" s="116" t="str">
        <x:v>Measured human delivery, QA and support</x:v>
      </x:c>
      <x:c r="F9" s="115"/>
      <x:c r="G9" s="115"/>
      <x:c r="H9" s="115"/>
      <x:c r="I9" s="115"/>
      <x:c r="J9" s="115"/>
      <x:c r="K9" s="115"/>
      <x:c r="L9" s="115"/>
      <x:c r="M9" s="115"/>
      <x:c r="N9" s="115"/>
      <x:c r="O9" s="115"/>
      <x:c r="P9" s="115"/>
      <x:c r="Q9" s="115"/>
      <x:c r="R9" s="115"/>
      <x:c r="S9" s="115"/>
      <x:c r="T9" s="115"/>
      <x:c r="U9" s="115"/>
      <x:c r="V9" s="115"/>
      <x:c r="W9" s="115"/>
      <x:c r="X9" s="115"/>
      <x:c r="Y9" s="115"/>
      <x:c r="Z9" s="115"/>
      <x:c r="AA9" s="115"/>
      <x:c r="AB9" s="115"/>
      <x:c r="AC9" s="115"/>
      <x:c r="AD9" s="115"/>
      <x:c r="AE9" s="115"/>
      <x:c r="AF9" s="115"/>
      <x:c r="AG9" s="115"/>
      <x:c r="AH9" s="115"/>
      <x:c r="AI9" s="115"/>
      <x:c r="AJ9" s="115"/>
      <x:c r="AK9" s="115"/>
      <x:c r="AL9" s="115"/>
    </x:row>
    <x:row r="10" ht="36" customHeight="1">
      <x:c r="B10" s="116" t="str">
        <x:v>Loaded hourly cost</x:v>
      </x:c>
      <x:c r="C10" s="167"/>
      <x:c r="D10" s="167"/>
      <x:c r="E10" s="116" t="str">
        <x:v>Payroll/vendor cost excluding the fixed budget if already included</x:v>
      </x:c>
      <x:c r="F10" s="115"/>
      <x:c r="G10" s="115"/>
      <x:c r="H10" s="115"/>
      <x:c r="I10" s="115"/>
      <x:c r="J10" s="115"/>
      <x:c r="K10" s="115"/>
      <x:c r="L10" s="115"/>
      <x:c r="M10" s="115"/>
      <x:c r="N10" s="115"/>
      <x:c r="O10" s="115"/>
      <x:c r="P10" s="115"/>
      <x:c r="Q10" s="115"/>
      <x:c r="R10" s="115"/>
      <x:c r="S10" s="115"/>
      <x:c r="T10" s="115"/>
      <x:c r="U10" s="115"/>
      <x:c r="V10" s="115"/>
      <x:c r="W10" s="115"/>
      <x:c r="X10" s="115"/>
      <x:c r="Y10" s="115"/>
      <x:c r="Z10" s="115"/>
      <x:c r="AA10" s="115"/>
      <x:c r="AB10" s="115"/>
      <x:c r="AC10" s="115"/>
      <x:c r="AD10" s="115"/>
      <x:c r="AE10" s="115"/>
      <x:c r="AF10" s="115"/>
      <x:c r="AG10" s="115"/>
      <x:c r="AH10" s="115"/>
      <x:c r="AI10" s="115"/>
      <x:c r="AJ10" s="115"/>
      <x:c r="AK10" s="115"/>
      <x:c r="AL10" s="115"/>
    </x:row>
    <x:row r="11" ht="36" customHeight="1">
      <x:c r="B11" s="116" t="str">
        <x:v>Incremental AI / data cost</x:v>
      </x:c>
      <x:c r="C11" s="167"/>
      <x:c r="D11" s="167"/>
      <x:c r="E11" s="116" t="str">
        <x:v>Usage beyond fixed cloud/data commitments</x:v>
      </x:c>
      <x:c r="F11" s="115"/>
      <x:c r="G11" s="115"/>
      <x:c r="H11" s="115"/>
      <x:c r="I11" s="115"/>
      <x:c r="J11" s="115"/>
      <x:c r="K11" s="115"/>
      <x:c r="L11" s="115"/>
      <x:c r="M11" s="115"/>
      <x:c r="N11" s="115"/>
      <x:c r="O11" s="115"/>
      <x:c r="P11" s="115"/>
      <x:c r="Q11" s="115"/>
      <x:c r="R11" s="115"/>
      <x:c r="S11" s="115"/>
      <x:c r="T11" s="115"/>
      <x:c r="U11" s="115"/>
      <x:c r="V11" s="115"/>
      <x:c r="W11" s="115"/>
      <x:c r="X11" s="115"/>
      <x:c r="Y11" s="115"/>
      <x:c r="Z11" s="115"/>
      <x:c r="AA11" s="115"/>
      <x:c r="AB11" s="115"/>
      <x:c r="AC11" s="115"/>
      <x:c r="AD11" s="115"/>
      <x:c r="AE11" s="115"/>
      <x:c r="AF11" s="115"/>
      <x:c r="AG11" s="115"/>
      <x:c r="AH11" s="115"/>
      <x:c r="AI11" s="115"/>
      <x:c r="AJ11" s="115"/>
      <x:c r="AK11" s="115"/>
      <x:c r="AL11" s="115"/>
    </x:row>
    <x:row r="12" ht="36" customHeight="1">
      <x:c r="B12" s="116" t="str">
        <x:v>Incremental compliance / other</x:v>
      </x:c>
      <x:c r="C12" s="167"/>
      <x:c r="D12" s="167"/>
      <x:c r="E12" s="116" t="str">
        <x:v>Per-customer costs not in fixed deployment</x:v>
      </x:c>
      <x:c r="F12" s="115"/>
      <x:c r="G12" s="115"/>
      <x:c r="H12" s="115"/>
      <x:c r="I12" s="115"/>
      <x:c r="J12" s="115"/>
      <x:c r="K12" s="115"/>
      <x:c r="L12" s="115"/>
      <x:c r="M12" s="115"/>
      <x:c r="N12" s="115"/>
      <x:c r="O12" s="115"/>
      <x:c r="P12" s="115"/>
      <x:c r="Q12" s="115"/>
      <x:c r="R12" s="115"/>
      <x:c r="S12" s="115"/>
      <x:c r="T12" s="115"/>
      <x:c r="U12" s="115"/>
      <x:c r="V12" s="115"/>
      <x:c r="W12" s="115"/>
      <x:c r="X12" s="115"/>
      <x:c r="Y12" s="115"/>
      <x:c r="Z12" s="115"/>
      <x:c r="AA12" s="115"/>
      <x:c r="AB12" s="115"/>
      <x:c r="AC12" s="115"/>
      <x:c r="AD12" s="115"/>
      <x:c r="AE12" s="115"/>
      <x:c r="AF12" s="115"/>
      <x:c r="AG12" s="115"/>
      <x:c r="AH12" s="115"/>
      <x:c r="AI12" s="115"/>
      <x:c r="AJ12" s="115"/>
      <x:c r="AK12" s="115"/>
      <x:c r="AL12" s="115"/>
    </x:row>
    <x:row r="13" ht="36" customHeight="1">
      <x:c r="B13" s="116" t="str">
        <x:v>Acquisition cost</x:v>
      </x:c>
      <x:c r="C13" s="167"/>
      <x:c r="D13" s="167"/>
      <x:c r="E13" s="116" t="str">
        <x:v>Sales labor, media, channel fees and travel</x:v>
      </x:c>
      <x:c r="F13" s="115"/>
      <x:c r="G13" s="115"/>
      <x:c r="H13" s="115"/>
      <x:c r="I13" s="115"/>
      <x:c r="J13" s="115"/>
      <x:c r="K13" s="115"/>
      <x:c r="L13" s="115"/>
      <x:c r="M13" s="115"/>
      <x:c r="N13" s="115"/>
      <x:c r="O13" s="115"/>
      <x:c r="P13" s="115"/>
      <x:c r="Q13" s="115"/>
      <x:c r="R13" s="115"/>
      <x:c r="S13" s="115"/>
      <x:c r="T13" s="115"/>
      <x:c r="U13" s="115"/>
      <x:c r="V13" s="115"/>
      <x:c r="W13" s="115"/>
      <x:c r="X13" s="115"/>
      <x:c r="Y13" s="115"/>
      <x:c r="Z13" s="115"/>
      <x:c r="AA13" s="115"/>
      <x:c r="AB13" s="115"/>
      <x:c r="AC13" s="115"/>
      <x:c r="AD13" s="115"/>
      <x:c r="AE13" s="115"/>
      <x:c r="AF13" s="115"/>
      <x:c r="AG13" s="115"/>
      <x:c r="AH13" s="115"/>
      <x:c r="AI13" s="115"/>
      <x:c r="AJ13" s="115"/>
      <x:c r="AK13" s="115"/>
      <x:c r="AL13" s="115"/>
    </x:row>
    <x:row r="14" ht="36" customHeight="1">
      <x:c r="B14" s="116" t="str">
        <x:v>Monthly account contribution</x:v>
      </x:c>
      <x:c r="C14" s="116" t="str">
        <x:f>IF(COUNT(C8:C12)=5,C8-C9*C10-SUM(C11:C12),"n.a.")</x:f>
        <x:v>n.a.</x:v>
      </x:c>
      <x:c r="D14" s="116" t="str">
        <x:f>IF(COUNT(D8:D12)=5,D8-D9*D10-SUM(D11:D12),"n.a.")</x:f>
        <x:v>n.a.</x:v>
      </x:c>
      <x:c r="E14" s="116" t="str">
        <x:v>Before shared fixed cost</x:v>
      </x:c>
      <x:c r="F14" s="115"/>
      <x:c r="G14" s="115"/>
      <x:c r="H14" s="115"/>
      <x:c r="I14" s="115"/>
      <x:c r="J14" s="115"/>
      <x:c r="K14" s="115"/>
      <x:c r="L14" s="115"/>
      <x:c r="M14" s="115"/>
      <x:c r="N14" s="115"/>
      <x:c r="O14" s="115"/>
      <x:c r="P14" s="115"/>
      <x:c r="Q14" s="115"/>
      <x:c r="R14" s="115"/>
      <x:c r="S14" s="115"/>
      <x:c r="T14" s="115"/>
      <x:c r="U14" s="115"/>
      <x:c r="V14" s="115"/>
      <x:c r="W14" s="115"/>
      <x:c r="X14" s="115"/>
      <x:c r="Y14" s="115"/>
      <x:c r="Z14" s="115"/>
      <x:c r="AA14" s="115"/>
      <x:c r="AB14" s="115"/>
      <x:c r="AC14" s="115"/>
      <x:c r="AD14" s="115"/>
      <x:c r="AE14" s="115"/>
      <x:c r="AF14" s="115"/>
      <x:c r="AG14" s="115"/>
      <x:c r="AH14" s="115"/>
      <x:c r="AI14" s="115"/>
      <x:c r="AJ14" s="115"/>
      <x:c r="AK14" s="115"/>
      <x:c r="AL14" s="115"/>
    </x:row>
    <x:row r="15" ht="36" customHeight="1">
      <x:c r="B15" s="116" t="str">
        <x:v>Contribution margin</x:v>
      </x:c>
      <x:c r="C15" s="169" t="str">
        <x:f>IF(AND(ISNUMBER(C14),C8&gt;0),C14/C8,"n.a.")</x:f>
        <x:v>n.a.</x:v>
      </x:c>
      <x:c r="D15" s="169" t="str">
        <x:f>IF(AND(ISNUMBER(D14),D8&gt;0),D14/D8,"n.a.")</x:f>
        <x:v>n.a.</x:v>
      </x:c>
      <x:c r="E15" s="116" t="str">
        <x:v>Contribution / price</x:v>
      </x:c>
      <x:c r="F15" s="115"/>
      <x:c r="G15" s="115"/>
      <x:c r="H15" s="115"/>
      <x:c r="I15" s="115"/>
      <x:c r="J15" s="115"/>
      <x:c r="K15" s="115"/>
      <x:c r="L15" s="115"/>
      <x:c r="M15" s="115"/>
      <x:c r="N15" s="115"/>
      <x:c r="O15" s="115"/>
      <x:c r="P15" s="115"/>
      <x:c r="Q15" s="115"/>
      <x:c r="R15" s="115"/>
      <x:c r="S15" s="115"/>
      <x:c r="T15" s="115"/>
      <x:c r="U15" s="115"/>
      <x:c r="V15" s="115"/>
      <x:c r="W15" s="115"/>
      <x:c r="X15" s="115"/>
      <x:c r="Y15" s="115"/>
      <x:c r="Z15" s="115"/>
      <x:c r="AA15" s="115"/>
      <x:c r="AB15" s="115"/>
      <x:c r="AC15" s="115"/>
      <x:c r="AD15" s="115"/>
      <x:c r="AE15" s="115"/>
      <x:c r="AF15" s="115"/>
      <x:c r="AG15" s="115"/>
      <x:c r="AH15" s="115"/>
      <x:c r="AI15" s="115"/>
      <x:c r="AJ15" s="115"/>
      <x:c r="AK15" s="115"/>
      <x:c r="AL15" s="115"/>
    </x:row>
    <x:row r="16" ht="36" customHeight="1">
      <x:c r="B16" s="116" t="str">
        <x:v>CAC payback months</x:v>
      </x:c>
      <x:c r="C16" s="116" t="str">
        <x:f>IF(AND(ISNUMBER(C13),ISNUMBER(C14)),IF(C14&gt;0,C13/C14,"n.a."),"n.a.")</x:f>
        <x:v>n.a.</x:v>
      </x:c>
      <x:c r="D16" s="116" t="str">
        <x:f>IF(AND(ISNUMBER(D13),ISNUMBER(D14)),IF(D14&gt;0,D13/D14,"n.a."),"n.a.")</x:f>
        <x:v>n.a.</x:v>
      </x:c>
      <x:c r="E16" s="116" t="str">
        <x:v>Acquisition cost / monthly contribution</x:v>
      </x:c>
      <x:c r="F16" s="115"/>
      <x:c r="G16" s="115"/>
      <x:c r="H16" s="115"/>
      <x:c r="I16" s="115"/>
      <x:c r="J16" s="115"/>
      <x:c r="K16" s="115"/>
      <x:c r="L16" s="115"/>
      <x:c r="M16" s="115"/>
      <x:c r="N16" s="115"/>
      <x:c r="O16" s="115"/>
      <x:c r="P16" s="115"/>
      <x:c r="Q16" s="115"/>
      <x:c r="R16" s="115"/>
      <x:c r="S16" s="115"/>
      <x:c r="T16" s="115"/>
      <x:c r="U16" s="115"/>
      <x:c r="V16" s="115"/>
      <x:c r="W16" s="115"/>
      <x:c r="X16" s="115"/>
      <x:c r="Y16" s="115"/>
      <x:c r="Z16" s="115"/>
      <x:c r="AA16" s="115"/>
      <x:c r="AB16" s="115"/>
      <x:c r="AC16" s="115"/>
      <x:c r="AD16" s="115"/>
      <x:c r="AE16" s="115"/>
      <x:c r="AF16" s="115"/>
      <x:c r="AG16" s="115"/>
      <x:c r="AH16" s="115"/>
      <x:c r="AI16" s="115"/>
      <x:c r="AJ16" s="115"/>
      <x:c r="AK16" s="115"/>
      <x:c r="AL16" s="115"/>
    </x:row>
    <x:row r="17" ht="36" customHeight="1">
      <x:c r="B17" s="116" t="str">
        <x:v>Observed retention</x:v>
      </x:c>
      <x:c r="C17" s="116"/>
      <x:c r="D17" s="116"/>
      <x:c r="E17" s="116" t="str">
        <x:v>Same cohort and period; not assumed zero churn</x:v>
      </x:c>
      <x:c r="F17" s="115"/>
      <x:c r="G17" s="115"/>
      <x:c r="H17" s="115"/>
      <x:c r="I17" s="115"/>
      <x:c r="J17" s="115"/>
      <x:c r="K17" s="115"/>
      <x:c r="L17" s="115"/>
      <x:c r="M17" s="115"/>
      <x:c r="N17" s="115"/>
      <x:c r="O17" s="115"/>
      <x:c r="P17" s="115"/>
      <x:c r="Q17" s="115"/>
      <x:c r="R17" s="115"/>
      <x:c r="S17" s="115"/>
      <x:c r="T17" s="115"/>
      <x:c r="U17" s="115"/>
      <x:c r="V17" s="115"/>
      <x:c r="W17" s="115"/>
      <x:c r="X17" s="115"/>
      <x:c r="Y17" s="115"/>
      <x:c r="Z17" s="115"/>
      <x:c r="AA17" s="115"/>
      <x:c r="AB17" s="115"/>
      <x:c r="AC17" s="115"/>
      <x:c r="AD17" s="115"/>
      <x:c r="AE17" s="115"/>
      <x:c r="AF17" s="115"/>
      <x:c r="AG17" s="115"/>
      <x:c r="AH17" s="115"/>
      <x:c r="AI17" s="115"/>
      <x:c r="AJ17" s="115"/>
      <x:c r="AK17" s="115"/>
      <x:c r="AL17" s="115"/>
    </x:row>
    <x:row r="18" ht="36" customHeight="1">
      <x:c r="B18" s="116" t="str">
        <x:v>Observation period</x:v>
      </x:c>
      <x:c r="C18" s="116"/>
      <x:c r="D18" s="116"/>
      <x:c r="E18" s="116" t="str">
        <x:v>Required before calling a metric observed</x:v>
      </x:c>
      <x:c r="F18" s="115"/>
      <x:c r="G18" s="115"/>
      <x:c r="H18" s="115"/>
      <x:c r="I18" s="115"/>
      <x:c r="J18" s="115"/>
      <x:c r="K18" s="115"/>
      <x:c r="L18" s="115"/>
      <x:c r="M18" s="115"/>
      <x:c r="N18" s="115"/>
      <x:c r="O18" s="115"/>
      <x:c r="P18" s="115"/>
      <x:c r="Q18" s="115"/>
      <x:c r="R18" s="115"/>
      <x:c r="S18" s="115"/>
      <x:c r="T18" s="115"/>
      <x:c r="U18" s="115"/>
      <x:c r="V18" s="115"/>
      <x:c r="W18" s="115"/>
      <x:c r="X18" s="115"/>
      <x:c r="Y18" s="115"/>
      <x:c r="Z18" s="115"/>
      <x:c r="AA18" s="115"/>
      <x:c r="AB18" s="115"/>
      <x:c r="AC18" s="115"/>
      <x:c r="AD18" s="115"/>
      <x:c r="AE18" s="115"/>
      <x:c r="AF18" s="115"/>
      <x:c r="AG18" s="115"/>
      <x:c r="AH18" s="115"/>
      <x:c r="AI18" s="115"/>
      <x:c r="AJ18" s="115"/>
      <x:c r="AK18" s="115"/>
      <x:c r="AL18" s="115"/>
    </x:row>
    <x:row r="19" ht="36" customHeight="1">
      <x:c r="B19" s="116"/>
      <x:c r="C19" s="116"/>
      <x:c r="D19" s="116"/>
      <x:c r="E19" s="116"/>
      <x:c r="F19" s="115"/>
      <x:c r="G19" s="115"/>
      <x:c r="H19" s="115"/>
      <x:c r="I19" s="115"/>
      <x:c r="J19" s="115"/>
      <x:c r="K19" s="115"/>
      <x:c r="L19" s="115"/>
      <x:c r="M19" s="115"/>
      <x:c r="N19" s="115"/>
      <x:c r="O19" s="115"/>
      <x:c r="P19" s="115"/>
      <x:c r="Q19" s="115"/>
      <x:c r="R19" s="115"/>
      <x:c r="S19" s="115"/>
      <x:c r="T19" s="115"/>
      <x:c r="U19" s="115"/>
      <x:c r="V19" s="115"/>
      <x:c r="W19" s="115"/>
      <x:c r="X19" s="115"/>
      <x:c r="Y19" s="115"/>
      <x:c r="Z19" s="115"/>
      <x:c r="AA19" s="115"/>
      <x:c r="AB19" s="115"/>
      <x:c r="AC19" s="115"/>
      <x:c r="AD19" s="115"/>
      <x:c r="AE19" s="115"/>
      <x:c r="AF19" s="115"/>
      <x:c r="AG19" s="115"/>
      <x:c r="AH19" s="115"/>
      <x:c r="AI19" s="115"/>
      <x:c r="AJ19" s="115"/>
      <x:c r="AK19" s="115"/>
      <x:c r="AL19" s="115"/>
    </x:row>
    <x:row r="20" ht="36" customHeight="1">
      <x:c r="B20" s="116"/>
      <x:c r="C20" s="116"/>
      <x:c r="D20" s="116"/>
      <x:c r="E20" s="116"/>
      <x:c r="F20" s="115"/>
      <x:c r="G20" s="115"/>
      <x:c r="H20" s="115"/>
      <x:c r="I20" s="115"/>
      <x:c r="J20" s="115"/>
      <x:c r="K20" s="115"/>
      <x:c r="L20" s="115"/>
      <x:c r="M20" s="115"/>
      <x:c r="N20" s="115"/>
      <x:c r="O20" s="115"/>
      <x:c r="P20" s="115"/>
      <x:c r="Q20" s="115"/>
      <x:c r="R20" s="115"/>
      <x:c r="S20" s="115"/>
      <x:c r="T20" s="115"/>
      <x:c r="U20" s="115"/>
      <x:c r="V20" s="115"/>
      <x:c r="W20" s="115"/>
      <x:c r="X20" s="115"/>
      <x:c r="Y20" s="115"/>
      <x:c r="Z20" s="115"/>
      <x:c r="AA20" s="115"/>
      <x:c r="AB20" s="115"/>
      <x:c r="AC20" s="115"/>
      <x:c r="AD20" s="115"/>
      <x:c r="AE20" s="115"/>
      <x:c r="AF20" s="115"/>
      <x:c r="AG20" s="115"/>
      <x:c r="AH20" s="115"/>
      <x:c r="AI20" s="115"/>
      <x:c r="AJ20" s="115"/>
      <x:c r="AK20" s="115"/>
      <x:c r="AL20" s="115"/>
    </x:row>
    <x:row r="21" ht="36" customHeight="1">
      <x:c r="B21" s="171" t="str">
        <x:v>Cost class</x:v>
      </x:c>
      <x:c r="C21" s="171" t="str">
        <x:v>Budget owner</x:v>
      </x:c>
      <x:c r="D21" s="171" t="str">
        <x:v>Treatment</x:v>
      </x:c>
      <x:c r="E21" s="171" t="str">
        <x:v>Evidence required</x:v>
      </x:c>
      <x:c r="F21" s="115"/>
      <x:c r="G21" s="115"/>
      <x:c r="H21" s="115"/>
      <x:c r="I21" s="115"/>
      <x:c r="J21" s="115"/>
      <x:c r="K21" s="115"/>
      <x:c r="L21" s="115"/>
      <x:c r="M21" s="115"/>
      <x:c r="N21" s="115"/>
      <x:c r="O21" s="115"/>
      <x:c r="P21" s="115"/>
      <x:c r="Q21" s="115"/>
      <x:c r="R21" s="115"/>
      <x:c r="S21" s="115"/>
      <x:c r="T21" s="115"/>
      <x:c r="U21" s="115"/>
      <x:c r="V21" s="115"/>
      <x:c r="W21" s="115"/>
      <x:c r="X21" s="115"/>
      <x:c r="Y21" s="115"/>
      <x:c r="Z21" s="115"/>
      <x:c r="AA21" s="115"/>
      <x:c r="AB21" s="115"/>
      <x:c r="AC21" s="115"/>
      <x:c r="AD21" s="115"/>
      <x:c r="AE21" s="115"/>
      <x:c r="AF21" s="115"/>
      <x:c r="AG21" s="115"/>
      <x:c r="AH21" s="115"/>
      <x:c r="AI21" s="115"/>
      <x:c r="AJ21" s="115"/>
      <x:c r="AK21" s="115"/>
      <x:c r="AL21" s="115"/>
    </x:row>
    <x:row r="22" ht="36" customHeight="1">
      <x:c r="B22" s="116" t="str">
        <x:v>Fixed cloud/data/KYC minimums</x:v>
      </x:c>
      <x:c r="C22" s="116" t="str">
        <x:v>Infrastructure/tools</x:v>
      </x:c>
      <x:c r="D22" s="116" t="str">
        <x:v>Fixed deployment only</x:v>
      </x:c>
      <x:c r="E22" s="116" t="str">
        <x:v>Vendor quotation and usage limits</x:v>
      </x:c>
      <x:c r="F22" s="115"/>
      <x:c r="G22" s="115"/>
      <x:c r="H22" s="115"/>
      <x:c r="I22" s="115"/>
      <x:c r="J22" s="115"/>
      <x:c r="K22" s="115"/>
      <x:c r="L22" s="115"/>
      <x:c r="M22" s="115"/>
      <x:c r="N22" s="115"/>
      <x:c r="O22" s="115"/>
      <x:c r="P22" s="115"/>
      <x:c r="Q22" s="115"/>
      <x:c r="R22" s="115"/>
      <x:c r="S22" s="115"/>
      <x:c r="T22" s="115"/>
      <x:c r="U22" s="115"/>
      <x:c r="V22" s="115"/>
      <x:c r="W22" s="115"/>
      <x:c r="X22" s="115"/>
      <x:c r="Y22" s="115"/>
      <x:c r="Z22" s="115"/>
      <x:c r="AA22" s="115"/>
      <x:c r="AB22" s="115"/>
      <x:c r="AC22" s="115"/>
      <x:c r="AD22" s="115"/>
      <x:c r="AE22" s="115"/>
      <x:c r="AF22" s="115"/>
      <x:c r="AG22" s="115"/>
      <x:c r="AH22" s="115"/>
      <x:c r="AI22" s="115"/>
      <x:c r="AJ22" s="115"/>
      <x:c r="AK22" s="115"/>
      <x:c r="AL22" s="115"/>
    </x:row>
    <x:row r="23" ht="36" customHeight="1">
      <x:c r="B23" s="116" t="str">
        <x:v>Engineering and fixed operations</x:v>
      </x:c>
      <x:c r="C23" s="116" t="str">
        <x:v>Technology / admin</x:v>
      </x:c>
      <x:c r="D23" s="116" t="str">
        <x:v>Fixed deployment only</x:v>
      </x:c>
      <x:c r="E23" s="116" t="str">
        <x:v>Roles, FTE, contracts, start dates</x:v>
      </x:c>
      <x:c r="F23" s="115"/>
      <x:c r="G23" s="115"/>
      <x:c r="H23" s="115"/>
      <x:c r="I23" s="115"/>
      <x:c r="J23" s="115"/>
      <x:c r="K23" s="115"/>
      <x:c r="L23" s="115"/>
      <x:c r="M23" s="115"/>
      <x:c r="N23" s="115"/>
      <x:c r="O23" s="115"/>
      <x:c r="P23" s="115"/>
      <x:c r="Q23" s="115"/>
      <x:c r="R23" s="115"/>
      <x:c r="S23" s="115"/>
      <x:c r="T23" s="115"/>
      <x:c r="U23" s="115"/>
      <x:c r="V23" s="115"/>
      <x:c r="W23" s="115"/>
      <x:c r="X23" s="115"/>
      <x:c r="Y23" s="115"/>
      <x:c r="Z23" s="115"/>
      <x:c r="AA23" s="115"/>
      <x:c r="AB23" s="115"/>
      <x:c r="AC23" s="115"/>
      <x:c r="AD23" s="115"/>
      <x:c r="AE23" s="115"/>
      <x:c r="AF23" s="115"/>
      <x:c r="AG23" s="115"/>
      <x:c r="AH23" s="115"/>
      <x:c r="AI23" s="115"/>
      <x:c r="AJ23" s="115"/>
      <x:c r="AK23" s="115"/>
      <x:c r="AL23" s="115"/>
    </x:row>
    <x:row r="24" ht="36" customHeight="1">
      <x:c r="B24" s="116" t="str">
        <x:v>Extra per-customer delivery</x:v>
      </x:c>
      <x:c r="C24" s="116" t="str">
        <x:v>Cost provision</x:v>
      </x:c>
      <x:c r="D24" s="116" t="str">
        <x:v>Incremental costs only</x:v>
      </x:c>
      <x:c r="E24" s="116" t="str">
        <x:v>Usage, human time, vendor unit rate</x:v>
      </x:c>
      <x:c r="F24" s="115"/>
      <x:c r="G24" s="115"/>
      <x:c r="H24" s="115"/>
      <x:c r="I24" s="115"/>
      <x:c r="J24" s="115"/>
      <x:c r="K24" s="115"/>
      <x:c r="L24" s="115"/>
      <x:c r="M24" s="115"/>
      <x:c r="N24" s="115"/>
      <x:c r="O24" s="115"/>
      <x:c r="P24" s="115"/>
      <x:c r="Q24" s="115"/>
      <x:c r="R24" s="115"/>
      <x:c r="S24" s="115"/>
      <x:c r="T24" s="115"/>
      <x:c r="U24" s="115"/>
      <x:c r="V24" s="115"/>
      <x:c r="W24" s="115"/>
      <x:c r="X24" s="115"/>
      <x:c r="Y24" s="115"/>
      <x:c r="Z24" s="115"/>
      <x:c r="AA24" s="115"/>
      <x:c r="AB24" s="115"/>
      <x:c r="AC24" s="115"/>
      <x:c r="AD24" s="115"/>
      <x:c r="AE24" s="115"/>
      <x:c r="AF24" s="115"/>
      <x:c r="AG24" s="115"/>
      <x:c r="AH24" s="115"/>
      <x:c r="AI24" s="115"/>
      <x:c r="AJ24" s="115"/>
      <x:c r="AK24" s="115"/>
      <x:c r="AL24" s="115"/>
    </x:row>
    <x:row r="25" ht="60" customHeight="1">
      <x:c r="B25" s="116" t="str">
        <x:v>Token / MM allowance</x:v>
      </x:c>
      <x:c r="C25" s="116" t="str">
        <x:v>Conditional allocation</x:v>
      </x:c>
      <x:c r="D25" s="116" t="str">
        <x:v>Cash spending only after gate; no recovery assumed</x:v>
      </x:c>
      <x:c r="E25" s="116" t="str">
        <x:v>Approval, scope and counterparty contract</x:v>
      </x:c>
      <x:c r="F25" s="115"/>
      <x:c r="G25" s="115"/>
      <x:c r="H25" s="115"/>
      <x:c r="I25" s="115"/>
      <x:c r="J25" s="115"/>
      <x:c r="K25" s="115"/>
      <x:c r="L25" s="115"/>
      <x:c r="M25" s="115"/>
      <x:c r="N25" s="115"/>
      <x:c r="O25" s="115"/>
      <x:c r="P25" s="115"/>
      <x:c r="Q25" s="115"/>
      <x:c r="R25" s="115"/>
      <x:c r="S25" s="115"/>
      <x:c r="T25" s="115"/>
      <x:c r="U25" s="115"/>
      <x:c r="V25" s="115"/>
      <x:c r="W25" s="115"/>
      <x:c r="X25" s="115"/>
      <x:c r="Y25" s="115"/>
      <x:c r="Z25" s="115"/>
      <x:c r="AA25" s="115"/>
      <x:c r="AB25" s="115"/>
      <x:c r="AC25" s="115"/>
      <x:c r="AD25" s="115"/>
      <x:c r="AE25" s="115"/>
      <x:c r="AF25" s="115"/>
      <x:c r="AG25" s="115"/>
      <x:c r="AH25" s="115"/>
      <x:c r="AI25" s="115"/>
      <x:c r="AJ25" s="115"/>
      <x:c r="AK25" s="115"/>
      <x:c r="AL25" s="115"/>
    </x:row>
    <x:row r="26" ht="60" customHeight="1">
      <x:c r="B26" s="116" t="str">
        <x:v>Taxes / prior obligations</x:v>
      </x:c>
      <x:c r="C26" s="116" t="str">
        <x:v>Unconfirmed allowance</x:v>
      </x:c>
      <x:c r="D26" s="116" t="str">
        <x:v>Not assessed by this workbook</x:v>
      </x:c>
      <x:c r="E26" s="116" t="str">
        <x:v>Accountant and counsel confirmation</x:v>
      </x:c>
      <x:c r="F26" s="115"/>
      <x:c r="G26" s="115"/>
      <x:c r="H26" s="115"/>
      <x:c r="I26" s="115"/>
      <x:c r="J26" s="115"/>
      <x:c r="K26" s="115"/>
      <x:c r="L26" s="115"/>
      <x:c r="M26" s="115"/>
      <x:c r="N26" s="115"/>
      <x:c r="O26" s="115"/>
      <x:c r="P26" s="115"/>
      <x:c r="Q26" s="115"/>
      <x:c r="R26" s="115"/>
      <x:c r="S26" s="115"/>
      <x:c r="T26" s="115"/>
      <x:c r="U26" s="115"/>
      <x:c r="V26" s="115"/>
      <x:c r="W26" s="115"/>
      <x:c r="X26" s="115"/>
      <x:c r="Y26" s="115"/>
      <x:c r="Z26" s="115"/>
      <x:c r="AA26" s="115"/>
      <x:c r="AB26" s="115"/>
      <x:c r="AC26" s="115"/>
      <x:c r="AD26" s="115"/>
      <x:c r="AE26" s="115"/>
      <x:c r="AF26" s="115"/>
      <x:c r="AG26" s="115"/>
      <x:c r="AH26" s="115"/>
      <x:c r="AI26" s="115"/>
      <x:c r="AJ26" s="115"/>
      <x:c r="AK26" s="115"/>
      <x:c r="AL26" s="115"/>
    </x:row>
    <x:row r="27">
      <x:c r="B27" s="115"/>
      <x:c r="C27" s="115"/>
      <x:c r="D27" s="115"/>
      <x:c r="E27" s="115"/>
      <x:c r="F27" s="115"/>
      <x:c r="G27" s="115"/>
      <x:c r="H27" s="115"/>
      <x:c r="I27" s="115"/>
      <x:c r="J27" s="115"/>
      <x:c r="K27" s="115"/>
      <x:c r="L27" s="115"/>
      <x:c r="M27" s="115"/>
      <x:c r="N27" s="115"/>
      <x:c r="O27" s="115"/>
      <x:c r="P27" s="115"/>
      <x:c r="Q27" s="115"/>
      <x:c r="R27" s="115"/>
      <x:c r="S27" s="115"/>
      <x:c r="T27" s="115"/>
      <x:c r="U27" s="115"/>
      <x:c r="V27" s="115"/>
      <x:c r="W27" s="115"/>
      <x:c r="X27" s="115"/>
      <x:c r="Y27" s="115"/>
      <x:c r="Z27" s="115"/>
      <x:c r="AA27" s="115"/>
      <x:c r="AB27" s="115"/>
      <x:c r="AC27" s="115"/>
      <x:c r="AD27" s="115"/>
      <x:c r="AE27" s="115"/>
      <x:c r="AF27" s="115"/>
      <x:c r="AG27" s="115"/>
      <x:c r="AH27" s="115"/>
      <x:c r="AI27" s="115"/>
      <x:c r="AJ27" s="115"/>
      <x:c r="AK27" s="115"/>
      <x:c r="AL27" s="115"/>
    </x:row>
    <x:row r="28">
      <x:c r="B28" s="115"/>
      <x:c r="C28" s="115"/>
      <x:c r="D28" s="115"/>
      <x:c r="E28" s="115"/>
      <x:c r="F28" s="115"/>
      <x:c r="G28" s="115"/>
      <x:c r="H28" s="115"/>
      <x:c r="I28" s="115"/>
      <x:c r="J28" s="115"/>
      <x:c r="K28" s="115"/>
      <x:c r="L28" s="115"/>
      <x:c r="M28" s="115"/>
      <x:c r="N28" s="115"/>
      <x:c r="O28" s="115"/>
      <x:c r="P28" s="115"/>
      <x:c r="Q28" s="115"/>
      <x:c r="R28" s="115"/>
      <x:c r="S28" s="115"/>
      <x:c r="T28" s="115"/>
      <x:c r="U28" s="115"/>
      <x:c r="V28" s="115"/>
      <x:c r="W28" s="115"/>
      <x:c r="X28" s="115"/>
      <x:c r="Y28" s="115"/>
      <x:c r="Z28" s="115"/>
      <x:c r="AA28" s="115"/>
      <x:c r="AB28" s="115"/>
      <x:c r="AC28" s="115"/>
      <x:c r="AD28" s="115"/>
      <x:c r="AE28" s="115"/>
      <x:c r="AF28" s="115"/>
      <x:c r="AG28" s="115"/>
      <x:c r="AH28" s="115"/>
      <x:c r="AI28" s="115"/>
      <x:c r="AJ28" s="115"/>
      <x:c r="AK28" s="115"/>
      <x:c r="AL28" s="115"/>
    </x:row>
    <x:row r="29">
      <x:c r="B29" s="115"/>
      <x:c r="C29" s="115"/>
      <x:c r="D29" s="115"/>
      <x:c r="E29" s="115"/>
      <x:c r="F29" s="115"/>
      <x:c r="G29" s="115"/>
      <x:c r="H29" s="115"/>
      <x:c r="I29" s="115"/>
      <x:c r="J29" s="115"/>
      <x:c r="K29" s="115"/>
      <x:c r="L29" s="115"/>
      <x:c r="M29" s="115"/>
      <x:c r="N29" s="115"/>
      <x:c r="O29" s="115"/>
      <x:c r="P29" s="115"/>
      <x:c r="Q29" s="115"/>
      <x:c r="R29" s="115"/>
      <x:c r="S29" s="115"/>
      <x:c r="T29" s="115"/>
      <x:c r="U29" s="115"/>
      <x:c r="V29" s="115"/>
      <x:c r="W29" s="115"/>
      <x:c r="X29" s="115"/>
      <x:c r="Y29" s="115"/>
      <x:c r="Z29" s="115"/>
      <x:c r="AA29" s="115"/>
      <x:c r="AB29" s="115"/>
      <x:c r="AC29" s="115"/>
      <x:c r="AD29" s="115"/>
      <x:c r="AE29" s="115"/>
      <x:c r="AF29" s="115"/>
      <x:c r="AG29" s="115"/>
      <x:c r="AH29" s="115"/>
      <x:c r="AI29" s="115"/>
      <x:c r="AJ29" s="115"/>
      <x:c r="AK29" s="115"/>
      <x:c r="AL29" s="115"/>
    </x:row>
    <x:row r="30">
      <x:c r="B30" s="115"/>
      <x:c r="C30" s="115"/>
      <x:c r="D30" s="115"/>
      <x:c r="E30" s="115"/>
      <x:c r="F30" s="115"/>
      <x:c r="G30" s="115"/>
      <x:c r="H30" s="115"/>
      <x:c r="I30" s="115"/>
      <x:c r="J30" s="115"/>
      <x:c r="K30" s="115"/>
      <x:c r="L30" s="115"/>
      <x:c r="M30" s="115"/>
      <x:c r="N30" s="115"/>
      <x:c r="O30" s="115"/>
      <x:c r="P30" s="115"/>
      <x:c r="Q30" s="115"/>
      <x:c r="R30" s="115"/>
      <x:c r="S30" s="115"/>
      <x:c r="T30" s="115"/>
      <x:c r="U30" s="115"/>
      <x:c r="V30" s="115"/>
      <x:c r="W30" s="115"/>
      <x:c r="X30" s="115"/>
      <x:c r="Y30" s="115"/>
      <x:c r="Z30" s="115"/>
      <x:c r="AA30" s="115"/>
      <x:c r="AB30" s="115"/>
      <x:c r="AC30" s="115"/>
      <x:c r="AD30" s="115"/>
      <x:c r="AE30" s="115"/>
      <x:c r="AF30" s="115"/>
      <x:c r="AG30" s="115"/>
      <x:c r="AH30" s="115"/>
      <x:c r="AI30" s="115"/>
      <x:c r="AJ30" s="115"/>
      <x:c r="AK30" s="115"/>
      <x:c r="AL30" s="115"/>
    </x:row>
    <x:row r="31">
      <x:c r="B31" s="115"/>
      <x:c r="C31" s="115"/>
      <x:c r="D31" s="115"/>
      <x:c r="E31" s="115"/>
      <x:c r="F31" s="115"/>
      <x:c r="G31" s="115"/>
      <x:c r="H31" s="115"/>
      <x:c r="I31" s="115"/>
      <x:c r="J31" s="115"/>
      <x:c r="K31" s="115"/>
      <x:c r="L31" s="115"/>
      <x:c r="M31" s="115"/>
      <x:c r="N31" s="115"/>
      <x:c r="O31" s="115"/>
      <x:c r="P31" s="115"/>
      <x:c r="Q31" s="115"/>
      <x:c r="R31" s="115"/>
      <x:c r="S31" s="115"/>
      <x:c r="T31" s="115"/>
      <x:c r="U31" s="115"/>
      <x:c r="V31" s="115"/>
      <x:c r="W31" s="115"/>
      <x:c r="X31" s="115"/>
      <x:c r="Y31" s="115"/>
      <x:c r="Z31" s="115"/>
      <x:c r="AA31" s="115"/>
      <x:c r="AB31" s="115"/>
      <x:c r="AC31" s="115"/>
      <x:c r="AD31" s="115"/>
      <x:c r="AE31" s="115"/>
      <x:c r="AF31" s="115"/>
      <x:c r="AG31" s="115"/>
      <x:c r="AH31" s="115"/>
      <x:c r="AI31" s="115"/>
      <x:c r="AJ31" s="115"/>
      <x:c r="AK31" s="115"/>
      <x:c r="AL31" s="115"/>
    </x:row>
    <x:row r="32">
      <x:c r="B32" s="115"/>
      <x:c r="C32" s="115"/>
      <x:c r="D32" s="115"/>
      <x:c r="E32" s="115"/>
      <x:c r="F32" s="115"/>
      <x:c r="G32" s="115"/>
      <x:c r="H32" s="115"/>
      <x:c r="I32" s="115"/>
      <x:c r="J32" s="115"/>
      <x:c r="K32" s="115"/>
      <x:c r="L32" s="115"/>
      <x:c r="M32" s="115"/>
      <x:c r="N32" s="115"/>
      <x:c r="O32" s="115"/>
      <x:c r="P32" s="115"/>
      <x:c r="Q32" s="115"/>
      <x:c r="R32" s="115"/>
      <x:c r="S32" s="115"/>
      <x:c r="T32" s="115"/>
      <x:c r="U32" s="115"/>
      <x:c r="V32" s="115"/>
      <x:c r="W32" s="115"/>
      <x:c r="X32" s="115"/>
      <x:c r="Y32" s="115"/>
      <x:c r="Z32" s="115"/>
      <x:c r="AA32" s="115"/>
      <x:c r="AB32" s="115"/>
      <x:c r="AC32" s="115"/>
      <x:c r="AD32" s="115"/>
      <x:c r="AE32" s="115"/>
      <x:c r="AF32" s="115"/>
      <x:c r="AG32" s="115"/>
      <x:c r="AH32" s="115"/>
      <x:c r="AI32" s="115"/>
      <x:c r="AJ32" s="115"/>
      <x:c r="AK32" s="115"/>
      <x:c r="AL32" s="115"/>
    </x:row>
    <x:row r="33">
      <x:c r="B33" s="115"/>
      <x:c r="C33" s="115"/>
      <x:c r="D33" s="115"/>
      <x:c r="E33" s="115"/>
      <x:c r="F33" s="115"/>
      <x:c r="G33" s="115"/>
      <x:c r="H33" s="115"/>
      <x:c r="I33" s="115"/>
      <x:c r="J33" s="115"/>
      <x:c r="K33" s="115"/>
      <x:c r="L33" s="115"/>
      <x:c r="M33" s="115"/>
      <x:c r="N33" s="115"/>
      <x:c r="O33" s="115"/>
      <x:c r="P33" s="115"/>
      <x:c r="Q33" s="115"/>
      <x:c r="R33" s="115"/>
      <x:c r="S33" s="115"/>
      <x:c r="T33" s="115"/>
      <x:c r="U33" s="115"/>
      <x:c r="V33" s="115"/>
      <x:c r="W33" s="115"/>
      <x:c r="X33" s="115"/>
      <x:c r="Y33" s="115"/>
      <x:c r="Z33" s="115"/>
      <x:c r="AA33" s="115"/>
      <x:c r="AB33" s="115"/>
      <x:c r="AC33" s="115"/>
      <x:c r="AD33" s="115"/>
      <x:c r="AE33" s="115"/>
      <x:c r="AF33" s="115"/>
      <x:c r="AG33" s="115"/>
      <x:c r="AH33" s="115"/>
      <x:c r="AI33" s="115"/>
      <x:c r="AJ33" s="115"/>
      <x:c r="AK33" s="115"/>
      <x:c r="AL33" s="115"/>
    </x:row>
    <x:row r="34">
      <x:c r="B34" s="115"/>
      <x:c r="C34" s="115"/>
      <x:c r="D34" s="115"/>
      <x:c r="E34" s="115"/>
      <x:c r="F34" s="115"/>
      <x:c r="G34" s="115"/>
      <x:c r="H34" s="115"/>
      <x:c r="I34" s="115"/>
      <x:c r="J34" s="115"/>
      <x:c r="K34" s="115"/>
      <x:c r="L34" s="115"/>
      <x:c r="M34" s="115"/>
      <x:c r="N34" s="115"/>
      <x:c r="O34" s="115"/>
      <x:c r="P34" s="115"/>
      <x:c r="Q34" s="115"/>
      <x:c r="R34" s="115"/>
      <x:c r="S34" s="115"/>
      <x:c r="T34" s="115"/>
      <x:c r="U34" s="115"/>
      <x:c r="V34" s="115"/>
      <x:c r="W34" s="115"/>
      <x:c r="X34" s="115"/>
      <x:c r="Y34" s="115"/>
      <x:c r="Z34" s="115"/>
      <x:c r="AA34" s="115"/>
      <x:c r="AB34" s="115"/>
      <x:c r="AC34" s="115"/>
      <x:c r="AD34" s="115"/>
      <x:c r="AE34" s="115"/>
      <x:c r="AF34" s="115"/>
      <x:c r="AG34" s="115"/>
      <x:c r="AH34" s="115"/>
      <x:c r="AI34" s="115"/>
      <x:c r="AJ34" s="115"/>
      <x:c r="AK34" s="115"/>
      <x:c r="AL34" s="115"/>
    </x:row>
    <x:row r="35">
      <x:c r="B35" s="115"/>
      <x:c r="C35" s="115"/>
      <x:c r="D35" s="115"/>
      <x:c r="E35" s="115"/>
      <x:c r="F35" s="115"/>
      <x:c r="G35" s="115"/>
      <x:c r="H35" s="115"/>
      <x:c r="I35" s="115"/>
      <x:c r="J35" s="115"/>
      <x:c r="K35" s="115"/>
      <x:c r="L35" s="115"/>
      <x:c r="M35" s="115"/>
      <x:c r="N35" s="115"/>
      <x:c r="O35" s="115"/>
      <x:c r="P35" s="115"/>
      <x:c r="Q35" s="115"/>
      <x:c r="R35" s="115"/>
      <x:c r="S35" s="115"/>
      <x:c r="T35" s="115"/>
      <x:c r="U35" s="115"/>
      <x:c r="V35" s="115"/>
      <x:c r="W35" s="115"/>
      <x:c r="X35" s="115"/>
      <x:c r="Y35" s="115"/>
      <x:c r="Z35" s="115"/>
      <x:c r="AA35" s="115"/>
      <x:c r="AB35" s="115"/>
      <x:c r="AC35" s="115"/>
      <x:c r="AD35" s="115"/>
      <x:c r="AE35" s="115"/>
      <x:c r="AF35" s="115"/>
      <x:c r="AG35" s="115"/>
      <x:c r="AH35" s="115"/>
      <x:c r="AI35" s="115"/>
      <x:c r="AJ35" s="115"/>
      <x:c r="AK35" s="115"/>
      <x:c r="AL35" s="115"/>
    </x:row>
    <x:row r="36">
      <x:c r="B36" s="115"/>
      <x:c r="C36" s="115"/>
      <x:c r="D36" s="115"/>
      <x:c r="E36" s="115"/>
      <x:c r="F36" s="115"/>
      <x:c r="G36" s="115"/>
      <x:c r="H36" s="115"/>
      <x:c r="I36" s="115"/>
      <x:c r="J36" s="115"/>
      <x:c r="K36" s="115"/>
      <x:c r="L36" s="115"/>
      <x:c r="M36" s="115"/>
      <x:c r="N36" s="115"/>
      <x:c r="O36" s="115"/>
      <x:c r="P36" s="115"/>
      <x:c r="Q36" s="115"/>
      <x:c r="R36" s="115"/>
      <x:c r="S36" s="115"/>
      <x:c r="T36" s="115"/>
      <x:c r="U36" s="115"/>
      <x:c r="V36" s="115"/>
      <x:c r="W36" s="115"/>
      <x:c r="X36" s="115"/>
      <x:c r="Y36" s="115"/>
      <x:c r="Z36" s="115"/>
      <x:c r="AA36" s="115"/>
      <x:c r="AB36" s="115"/>
      <x:c r="AC36" s="115"/>
      <x:c r="AD36" s="115"/>
      <x:c r="AE36" s="115"/>
      <x:c r="AF36" s="115"/>
      <x:c r="AG36" s="115"/>
      <x:c r="AH36" s="115"/>
      <x:c r="AI36" s="115"/>
      <x:c r="AJ36" s="115"/>
      <x:c r="AK36" s="115"/>
      <x:c r="AL36" s="115"/>
    </x:row>
    <x:row r="37">
      <x:c r="B37" s="115"/>
      <x:c r="C37" s="115"/>
      <x:c r="D37" s="115"/>
      <x:c r="E37" s="115"/>
      <x:c r="F37" s="115"/>
      <x:c r="G37" s="115"/>
      <x:c r="H37" s="115"/>
      <x:c r="I37" s="115"/>
      <x:c r="J37" s="115"/>
      <x:c r="K37" s="115"/>
      <x:c r="L37" s="115"/>
      <x:c r="M37" s="115"/>
      <x:c r="N37" s="115"/>
      <x:c r="O37" s="115"/>
      <x:c r="P37" s="115"/>
      <x:c r="Q37" s="115"/>
      <x:c r="R37" s="115"/>
      <x:c r="S37" s="115"/>
      <x:c r="T37" s="115"/>
      <x:c r="U37" s="115"/>
      <x:c r="V37" s="115"/>
      <x:c r="W37" s="115"/>
      <x:c r="X37" s="115"/>
      <x:c r="Y37" s="115"/>
      <x:c r="Z37" s="115"/>
      <x:c r="AA37" s="115"/>
      <x:c r="AB37" s="115"/>
      <x:c r="AC37" s="115"/>
      <x:c r="AD37" s="115"/>
      <x:c r="AE37" s="115"/>
      <x:c r="AF37" s="115"/>
      <x:c r="AG37" s="115"/>
      <x:c r="AH37" s="115"/>
      <x:c r="AI37" s="115"/>
      <x:c r="AJ37" s="115"/>
      <x:c r="AK37" s="115"/>
      <x:c r="AL37" s="115"/>
    </x:row>
    <x:row r="38">
      <x:c r="B38" s="115"/>
      <x:c r="C38" s="115"/>
      <x:c r="D38" s="115"/>
      <x:c r="E38" s="115"/>
      <x:c r="F38" s="115"/>
      <x:c r="G38" s="115"/>
      <x:c r="H38" s="115"/>
      <x:c r="I38" s="115"/>
      <x:c r="J38" s="115"/>
      <x:c r="K38" s="115"/>
      <x:c r="L38" s="115"/>
      <x:c r="M38" s="115"/>
      <x:c r="N38" s="115"/>
      <x:c r="O38" s="115"/>
      <x:c r="P38" s="115"/>
      <x:c r="Q38" s="115"/>
      <x:c r="R38" s="115"/>
      <x:c r="S38" s="115"/>
      <x:c r="T38" s="115"/>
      <x:c r="U38" s="115"/>
      <x:c r="V38" s="115"/>
      <x:c r="W38" s="115"/>
      <x:c r="X38" s="115"/>
      <x:c r="Y38" s="115"/>
      <x:c r="Z38" s="115"/>
      <x:c r="AA38" s="115"/>
      <x:c r="AB38" s="115"/>
      <x:c r="AC38" s="115"/>
      <x:c r="AD38" s="115"/>
      <x:c r="AE38" s="115"/>
      <x:c r="AF38" s="115"/>
      <x:c r="AG38" s="115"/>
      <x:c r="AH38" s="115"/>
      <x:c r="AI38" s="115"/>
      <x:c r="AJ38" s="115"/>
      <x:c r="AK38" s="115"/>
      <x:c r="AL38" s="115"/>
    </x:row>
    <x:row r="39">
      <x:c r="B39" s="115"/>
      <x:c r="C39" s="115"/>
      <x:c r="D39" s="115"/>
      <x:c r="E39" s="115"/>
      <x:c r="F39" s="115"/>
      <x:c r="G39" s="115"/>
      <x:c r="H39" s="115"/>
      <x:c r="I39" s="115"/>
      <x:c r="J39" s="115"/>
      <x:c r="K39" s="115"/>
      <x:c r="L39" s="115"/>
      <x:c r="M39" s="115"/>
      <x:c r="N39" s="115"/>
      <x:c r="O39" s="115"/>
      <x:c r="P39" s="115"/>
      <x:c r="Q39" s="115"/>
      <x:c r="R39" s="115"/>
      <x:c r="S39" s="115"/>
      <x:c r="T39" s="115"/>
      <x:c r="U39" s="115"/>
      <x:c r="V39" s="115"/>
      <x:c r="W39" s="115"/>
      <x:c r="X39" s="115"/>
      <x:c r="Y39" s="115"/>
      <x:c r="Z39" s="115"/>
      <x:c r="AA39" s="115"/>
      <x:c r="AB39" s="115"/>
      <x:c r="AC39" s="115"/>
      <x:c r="AD39" s="115"/>
      <x:c r="AE39" s="115"/>
      <x:c r="AF39" s="115"/>
      <x:c r="AG39" s="115"/>
      <x:c r="AH39" s="115"/>
      <x:c r="AI39" s="115"/>
      <x:c r="AJ39" s="115"/>
      <x:c r="AK39" s="115"/>
      <x:c r="AL39" s="115"/>
    </x:row>
    <x:row r="40">
      <x:c r="B40" s="115"/>
      <x:c r="C40" s="115"/>
      <x:c r="D40" s="115"/>
      <x:c r="E40" s="115"/>
      <x:c r="F40" s="115"/>
      <x:c r="G40" s="115"/>
      <x:c r="H40" s="115"/>
      <x:c r="I40" s="115"/>
      <x:c r="J40" s="115"/>
      <x:c r="K40" s="115"/>
      <x:c r="L40" s="115"/>
      <x:c r="M40" s="115"/>
      <x:c r="N40" s="115"/>
      <x:c r="O40" s="115"/>
      <x:c r="P40" s="115"/>
      <x:c r="Q40" s="115"/>
      <x:c r="R40" s="115"/>
      <x:c r="S40" s="115"/>
      <x:c r="T40" s="115"/>
      <x:c r="U40" s="115"/>
      <x:c r="V40" s="115"/>
      <x:c r="W40" s="115"/>
      <x:c r="X40" s="115"/>
      <x:c r="Y40" s="115"/>
      <x:c r="Z40" s="115"/>
      <x:c r="AA40" s="115"/>
      <x:c r="AB40" s="115"/>
      <x:c r="AC40" s="115"/>
      <x:c r="AD40" s="115"/>
      <x:c r="AE40" s="115"/>
      <x:c r="AF40" s="115"/>
      <x:c r="AG40" s="115"/>
      <x:c r="AH40" s="115"/>
      <x:c r="AI40" s="115"/>
      <x:c r="AJ40" s="115"/>
      <x:c r="AK40" s="115"/>
      <x:c r="AL40" s="115"/>
    </x:row>
    <x:row r="41">
      <x:c r="B41" s="115"/>
      <x:c r="C41" s="115"/>
      <x:c r="D41" s="115"/>
      <x:c r="E41" s="115"/>
      <x:c r="F41" s="115"/>
      <x:c r="G41" s="115"/>
      <x:c r="H41" s="115"/>
      <x:c r="I41" s="115"/>
      <x:c r="J41" s="115"/>
      <x:c r="K41" s="115"/>
      <x:c r="L41" s="115"/>
      <x:c r="M41" s="115"/>
      <x:c r="N41" s="115"/>
      <x:c r="O41" s="115"/>
      <x:c r="P41" s="115"/>
      <x:c r="Q41" s="115"/>
      <x:c r="R41" s="115"/>
      <x:c r="S41" s="115"/>
      <x:c r="T41" s="115"/>
      <x:c r="U41" s="115"/>
      <x:c r="V41" s="115"/>
      <x:c r="W41" s="115"/>
      <x:c r="X41" s="115"/>
      <x:c r="Y41" s="115"/>
      <x:c r="Z41" s="115"/>
      <x:c r="AA41" s="115"/>
      <x:c r="AB41" s="115"/>
      <x:c r="AC41" s="115"/>
      <x:c r="AD41" s="115"/>
      <x:c r="AE41" s="115"/>
      <x:c r="AF41" s="115"/>
      <x:c r="AG41" s="115"/>
      <x:c r="AH41" s="115"/>
      <x:c r="AI41" s="115"/>
      <x:c r="AJ41" s="115"/>
      <x:c r="AK41" s="115"/>
      <x:c r="AL41" s="115"/>
    </x:row>
    <x:row r="42">
      <x:c r="B42" s="115"/>
      <x:c r="C42" s="115"/>
      <x:c r="D42" s="115"/>
      <x:c r="E42" s="115"/>
      <x:c r="F42" s="115"/>
      <x:c r="G42" s="115"/>
      <x:c r="H42" s="115"/>
      <x:c r="I42" s="115"/>
      <x:c r="J42" s="115"/>
      <x:c r="K42" s="115"/>
      <x:c r="L42" s="115"/>
      <x:c r="M42" s="115"/>
      <x:c r="N42" s="115"/>
      <x:c r="O42" s="115"/>
      <x:c r="P42" s="115"/>
      <x:c r="Q42" s="115"/>
      <x:c r="R42" s="115"/>
      <x:c r="S42" s="115"/>
      <x:c r="T42" s="115"/>
      <x:c r="U42" s="115"/>
      <x:c r="V42" s="115"/>
      <x:c r="W42" s="115"/>
      <x:c r="X42" s="115"/>
      <x:c r="Y42" s="115"/>
      <x:c r="Z42" s="115"/>
      <x:c r="AA42" s="115"/>
      <x:c r="AB42" s="115"/>
      <x:c r="AC42" s="115"/>
      <x:c r="AD42" s="115"/>
      <x:c r="AE42" s="115"/>
      <x:c r="AF42" s="115"/>
      <x:c r="AG42" s="115"/>
      <x:c r="AH42" s="115"/>
      <x:c r="AI42" s="115"/>
      <x:c r="AJ42" s="115"/>
      <x:c r="AK42" s="115"/>
      <x:c r="AL42" s="115"/>
    </x:row>
    <x:row r="43">
      <x:c r="B43" s="115"/>
      <x:c r="C43" s="115"/>
      <x:c r="D43" s="115"/>
      <x:c r="E43" s="115"/>
      <x:c r="F43" s="115"/>
      <x:c r="G43" s="115"/>
      <x:c r="H43" s="115"/>
      <x:c r="I43" s="115"/>
      <x:c r="J43" s="115"/>
      <x:c r="K43" s="115"/>
      <x:c r="L43" s="115"/>
      <x:c r="M43" s="115"/>
      <x:c r="N43" s="115"/>
      <x:c r="O43" s="115"/>
      <x:c r="P43" s="115"/>
      <x:c r="Q43" s="115"/>
      <x:c r="R43" s="115"/>
      <x:c r="S43" s="115"/>
      <x:c r="T43" s="115"/>
      <x:c r="U43" s="115"/>
      <x:c r="V43" s="115"/>
      <x:c r="W43" s="115"/>
      <x:c r="X43" s="115"/>
      <x:c r="Y43" s="115"/>
      <x:c r="Z43" s="115"/>
      <x:c r="AA43" s="115"/>
      <x:c r="AB43" s="115"/>
      <x:c r="AC43" s="115"/>
      <x:c r="AD43" s="115"/>
      <x:c r="AE43" s="115"/>
      <x:c r="AF43" s="115"/>
      <x:c r="AG43" s="115"/>
      <x:c r="AH43" s="115"/>
      <x:c r="AI43" s="115"/>
      <x:c r="AJ43" s="115"/>
      <x:c r="AK43" s="115"/>
      <x:c r="AL43" s="115"/>
    </x:row>
    <x:row r="44">
      <x:c r="B44" s="115"/>
      <x:c r="C44" s="115"/>
      <x:c r="D44" s="115"/>
      <x:c r="E44" s="115"/>
      <x:c r="F44" s="115"/>
      <x:c r="G44" s="115"/>
      <x:c r="H44" s="115"/>
      <x:c r="I44" s="115"/>
      <x:c r="J44" s="115"/>
      <x:c r="K44" s="115"/>
      <x:c r="L44" s="115"/>
      <x:c r="M44" s="115"/>
      <x:c r="N44" s="115"/>
      <x:c r="O44" s="115"/>
      <x:c r="P44" s="115"/>
      <x:c r="Q44" s="115"/>
      <x:c r="R44" s="115"/>
      <x:c r="S44" s="115"/>
      <x:c r="T44" s="115"/>
      <x:c r="U44" s="115"/>
      <x:c r="V44" s="115"/>
      <x:c r="W44" s="115"/>
      <x:c r="X44" s="115"/>
      <x:c r="Y44" s="115"/>
      <x:c r="Z44" s="115"/>
      <x:c r="AA44" s="115"/>
      <x:c r="AB44" s="115"/>
      <x:c r="AC44" s="115"/>
      <x:c r="AD44" s="115"/>
      <x:c r="AE44" s="115"/>
      <x:c r="AF44" s="115"/>
      <x:c r="AG44" s="115"/>
      <x:c r="AH44" s="115"/>
      <x:c r="AI44" s="115"/>
      <x:c r="AJ44" s="115"/>
      <x:c r="AK44" s="115"/>
      <x:c r="AL44" s="115"/>
    </x:row>
    <x:row r="45">
      <x:c r="B45" s="115"/>
      <x:c r="C45" s="115"/>
      <x:c r="D45" s="115"/>
      <x:c r="E45" s="115"/>
      <x:c r="F45" s="115"/>
      <x:c r="G45" s="115"/>
      <x:c r="H45" s="115"/>
      <x:c r="I45" s="115"/>
      <x:c r="J45" s="115"/>
      <x:c r="K45" s="115"/>
      <x:c r="L45" s="115"/>
      <x:c r="M45" s="115"/>
      <x:c r="N45" s="115"/>
      <x:c r="O45" s="115"/>
      <x:c r="P45" s="115"/>
      <x:c r="Q45" s="115"/>
      <x:c r="R45" s="115"/>
      <x:c r="S45" s="115"/>
      <x:c r="T45" s="115"/>
      <x:c r="U45" s="115"/>
      <x:c r="V45" s="115"/>
      <x:c r="W45" s="115"/>
      <x:c r="X45" s="115"/>
      <x:c r="Y45" s="115"/>
      <x:c r="Z45" s="115"/>
      <x:c r="AA45" s="115"/>
      <x:c r="AB45" s="115"/>
      <x:c r="AC45" s="115"/>
      <x:c r="AD45" s="115"/>
      <x:c r="AE45" s="115"/>
      <x:c r="AF45" s="115"/>
      <x:c r="AG45" s="115"/>
      <x:c r="AH45" s="115"/>
      <x:c r="AI45" s="115"/>
      <x:c r="AJ45" s="115"/>
      <x:c r="AK45" s="115"/>
      <x:c r="AL45" s="115"/>
    </x:row>
    <x:row r="46">
      <x:c r="B46" s="115"/>
      <x:c r="C46" s="115"/>
      <x:c r="D46" s="115"/>
      <x:c r="E46" s="115"/>
      <x:c r="F46" s="115"/>
      <x:c r="G46" s="115"/>
      <x:c r="H46" s="115"/>
      <x:c r="I46" s="115"/>
      <x:c r="J46" s="115"/>
      <x:c r="K46" s="115"/>
      <x:c r="L46" s="115"/>
      <x:c r="M46" s="115"/>
      <x:c r="N46" s="115"/>
      <x:c r="O46" s="115"/>
      <x:c r="P46" s="115"/>
      <x:c r="Q46" s="115"/>
      <x:c r="R46" s="115"/>
      <x:c r="S46" s="115"/>
      <x:c r="T46" s="115"/>
      <x:c r="U46" s="115"/>
      <x:c r="V46" s="115"/>
      <x:c r="W46" s="115"/>
      <x:c r="X46" s="115"/>
      <x:c r="Y46" s="115"/>
      <x:c r="Z46" s="115"/>
      <x:c r="AA46" s="115"/>
      <x:c r="AB46" s="115"/>
      <x:c r="AC46" s="115"/>
      <x:c r="AD46" s="115"/>
      <x:c r="AE46" s="115"/>
      <x:c r="AF46" s="115"/>
      <x:c r="AG46" s="115"/>
      <x:c r="AH46" s="115"/>
      <x:c r="AI46" s="115"/>
      <x:c r="AJ46" s="115"/>
      <x:c r="AK46" s="115"/>
      <x:c r="AL46" s="115"/>
    </x:row>
    <x:row r="47">
      <x:c r="B47" s="115"/>
      <x:c r="C47" s="115"/>
      <x:c r="D47" s="115"/>
      <x:c r="E47" s="115"/>
      <x:c r="F47" s="115"/>
      <x:c r="G47" s="115"/>
      <x:c r="H47" s="115"/>
      <x:c r="I47" s="115"/>
      <x:c r="J47" s="115"/>
      <x:c r="K47" s="115"/>
      <x:c r="L47" s="115"/>
      <x:c r="M47" s="115"/>
      <x:c r="N47" s="115"/>
      <x:c r="O47" s="115"/>
      <x:c r="P47" s="115"/>
      <x:c r="Q47" s="115"/>
      <x:c r="R47" s="115"/>
      <x:c r="S47" s="115"/>
      <x:c r="T47" s="115"/>
      <x:c r="U47" s="115"/>
      <x:c r="V47" s="115"/>
      <x:c r="W47" s="115"/>
      <x:c r="X47" s="115"/>
      <x:c r="Y47" s="115"/>
      <x:c r="Z47" s="115"/>
      <x:c r="AA47" s="115"/>
      <x:c r="AB47" s="115"/>
      <x:c r="AC47" s="115"/>
      <x:c r="AD47" s="115"/>
      <x:c r="AE47" s="115"/>
      <x:c r="AF47" s="115"/>
      <x:c r="AG47" s="115"/>
      <x:c r="AH47" s="115"/>
      <x:c r="AI47" s="115"/>
      <x:c r="AJ47" s="115"/>
      <x:c r="AK47" s="115"/>
      <x:c r="AL47" s="115"/>
    </x:row>
    <x:row r="48">
      <x:c r="B48" s="115"/>
      <x:c r="C48" s="115"/>
      <x:c r="D48" s="115"/>
      <x:c r="E48" s="115"/>
      <x:c r="F48" s="115"/>
      <x:c r="G48" s="115"/>
      <x:c r="H48" s="115"/>
      <x:c r="I48" s="115"/>
      <x:c r="J48" s="115"/>
      <x:c r="K48" s="115"/>
      <x:c r="L48" s="115"/>
      <x:c r="M48" s="115"/>
      <x:c r="N48" s="115"/>
      <x:c r="O48" s="115"/>
      <x:c r="P48" s="115"/>
      <x:c r="Q48" s="115"/>
      <x:c r="R48" s="115"/>
      <x:c r="S48" s="115"/>
      <x:c r="T48" s="115"/>
      <x:c r="U48" s="115"/>
      <x:c r="V48" s="115"/>
      <x:c r="W48" s="115"/>
      <x:c r="X48" s="115"/>
      <x:c r="Y48" s="115"/>
      <x:c r="Z48" s="115"/>
      <x:c r="AA48" s="115"/>
      <x:c r="AB48" s="115"/>
      <x:c r="AC48" s="115"/>
      <x:c r="AD48" s="115"/>
      <x:c r="AE48" s="115"/>
      <x:c r="AF48" s="115"/>
      <x:c r="AG48" s="115"/>
      <x:c r="AH48" s="115"/>
      <x:c r="AI48" s="115"/>
      <x:c r="AJ48" s="115"/>
      <x:c r="AK48" s="115"/>
      <x:c r="AL48" s="115"/>
    </x:row>
    <x:row r="49">
      <x:c r="B49" s="115"/>
      <x:c r="C49" s="115"/>
      <x:c r="D49" s="115"/>
      <x:c r="E49" s="115"/>
      <x:c r="F49" s="115"/>
      <x:c r="G49" s="115"/>
      <x:c r="H49" s="115"/>
      <x:c r="I49" s="115"/>
      <x:c r="J49" s="115"/>
      <x:c r="K49" s="115"/>
      <x:c r="L49" s="115"/>
      <x:c r="M49" s="115"/>
      <x:c r="N49" s="115"/>
      <x:c r="O49" s="115"/>
      <x:c r="P49" s="115"/>
      <x:c r="Q49" s="115"/>
      <x:c r="R49" s="115"/>
      <x:c r="S49" s="115"/>
      <x:c r="T49" s="115"/>
      <x:c r="U49" s="115"/>
      <x:c r="V49" s="115"/>
      <x:c r="W49" s="115"/>
      <x:c r="X49" s="115"/>
      <x:c r="Y49" s="115"/>
      <x:c r="Z49" s="115"/>
      <x:c r="AA49" s="115"/>
      <x:c r="AB49" s="115"/>
      <x:c r="AC49" s="115"/>
      <x:c r="AD49" s="115"/>
      <x:c r="AE49" s="115"/>
      <x:c r="AF49" s="115"/>
      <x:c r="AG49" s="115"/>
      <x:c r="AH49" s="115"/>
      <x:c r="AI49" s="115"/>
      <x:c r="AJ49" s="115"/>
      <x:c r="AK49" s="115"/>
      <x:c r="AL49" s="115"/>
    </x:row>
    <x:row r="50">
      <x:c r="B50" s="115"/>
      <x:c r="C50" s="115"/>
      <x:c r="D50" s="115"/>
      <x:c r="E50" s="115"/>
      <x:c r="F50" s="115"/>
      <x:c r="G50" s="115"/>
      <x:c r="H50" s="115"/>
      <x:c r="I50" s="115"/>
      <x:c r="J50" s="115"/>
      <x:c r="K50" s="115"/>
      <x:c r="L50" s="115"/>
      <x:c r="M50" s="115"/>
      <x:c r="N50" s="115"/>
      <x:c r="O50" s="115"/>
      <x:c r="P50" s="115"/>
      <x:c r="Q50" s="115"/>
      <x:c r="R50" s="115"/>
      <x:c r="S50" s="115"/>
      <x:c r="T50" s="115"/>
      <x:c r="U50" s="115"/>
      <x:c r="V50" s="115"/>
      <x:c r="W50" s="115"/>
      <x:c r="X50" s="115"/>
      <x:c r="Y50" s="115"/>
      <x:c r="Z50" s="115"/>
      <x:c r="AA50" s="115"/>
      <x:c r="AB50" s="115"/>
      <x:c r="AC50" s="115"/>
      <x:c r="AD50" s="115"/>
      <x:c r="AE50" s="115"/>
      <x:c r="AF50" s="115"/>
      <x:c r="AG50" s="115"/>
      <x:c r="AH50" s="115"/>
      <x:c r="AI50" s="115"/>
      <x:c r="AJ50" s="115"/>
      <x:c r="AK50" s="115"/>
      <x:c r="AL50" s="115"/>
    </x:row>
    <x:row r="51">
      <x:c r="B51" s="115"/>
      <x:c r="C51" s="115"/>
      <x:c r="D51" s="115"/>
      <x:c r="E51" s="115"/>
      <x:c r="F51" s="115"/>
      <x:c r="G51" s="115"/>
      <x:c r="H51" s="115"/>
      <x:c r="I51" s="115"/>
      <x:c r="J51" s="115"/>
      <x:c r="K51" s="115"/>
      <x:c r="L51" s="115"/>
      <x:c r="M51" s="115"/>
      <x:c r="N51" s="115"/>
      <x:c r="O51" s="115"/>
      <x:c r="P51" s="115"/>
      <x:c r="Q51" s="115"/>
      <x:c r="R51" s="115"/>
      <x:c r="S51" s="115"/>
      <x:c r="T51" s="115"/>
      <x:c r="U51" s="115"/>
      <x:c r="V51" s="115"/>
      <x:c r="W51" s="115"/>
      <x:c r="X51" s="115"/>
      <x:c r="Y51" s="115"/>
      <x:c r="Z51" s="115"/>
      <x:c r="AA51" s="115"/>
      <x:c r="AB51" s="115"/>
      <x:c r="AC51" s="115"/>
      <x:c r="AD51" s="115"/>
      <x:c r="AE51" s="115"/>
      <x:c r="AF51" s="115"/>
      <x:c r="AG51" s="115"/>
      <x:c r="AH51" s="115"/>
      <x:c r="AI51" s="115"/>
      <x:c r="AJ51" s="115"/>
      <x:c r="AK51" s="115"/>
      <x:c r="AL51" s="115"/>
    </x:row>
    <x:row r="52">
      <x:c r="B52" s="115"/>
      <x:c r="C52" s="115"/>
      <x:c r="D52" s="115"/>
      <x:c r="E52" s="115"/>
      <x:c r="F52" s="115"/>
      <x:c r="G52" s="115"/>
      <x:c r="H52" s="115"/>
      <x:c r="I52" s="115"/>
      <x:c r="J52" s="115"/>
      <x:c r="K52" s="115"/>
      <x:c r="L52" s="115"/>
      <x:c r="M52" s="115"/>
      <x:c r="N52" s="115"/>
      <x:c r="O52" s="115"/>
      <x:c r="P52" s="115"/>
      <x:c r="Q52" s="115"/>
      <x:c r="R52" s="115"/>
      <x:c r="S52" s="115"/>
      <x:c r="T52" s="115"/>
      <x:c r="U52" s="115"/>
      <x:c r="V52" s="115"/>
      <x:c r="W52" s="115"/>
      <x:c r="X52" s="115"/>
      <x:c r="Y52" s="115"/>
      <x:c r="Z52" s="115"/>
      <x:c r="AA52" s="115"/>
      <x:c r="AB52" s="115"/>
      <x:c r="AC52" s="115"/>
      <x:c r="AD52" s="115"/>
      <x:c r="AE52" s="115"/>
      <x:c r="AF52" s="115"/>
      <x:c r="AG52" s="115"/>
      <x:c r="AH52" s="115"/>
      <x:c r="AI52" s="115"/>
      <x:c r="AJ52" s="115"/>
      <x:c r="AK52" s="115"/>
      <x:c r="AL52" s="115"/>
    </x:row>
    <x:row r="53">
      <x:c r="B53" s="115"/>
      <x:c r="C53" s="115"/>
      <x:c r="D53" s="115"/>
      <x:c r="E53" s="115"/>
      <x:c r="F53" s="115"/>
      <x:c r="G53" s="115"/>
      <x:c r="H53" s="115"/>
      <x:c r="I53" s="115"/>
      <x:c r="J53" s="115"/>
      <x:c r="K53" s="115"/>
      <x:c r="L53" s="115"/>
      <x:c r="M53" s="115"/>
      <x:c r="N53" s="115"/>
      <x:c r="O53" s="115"/>
      <x:c r="P53" s="115"/>
      <x:c r="Q53" s="115"/>
      <x:c r="R53" s="115"/>
      <x:c r="S53" s="115"/>
      <x:c r="T53" s="115"/>
      <x:c r="U53" s="115"/>
      <x:c r="V53" s="115"/>
      <x:c r="W53" s="115"/>
      <x:c r="X53" s="115"/>
      <x:c r="Y53" s="115"/>
      <x:c r="Z53" s="115"/>
      <x:c r="AA53" s="115"/>
      <x:c r="AB53" s="115"/>
      <x:c r="AC53" s="115"/>
      <x:c r="AD53" s="115"/>
      <x:c r="AE53" s="115"/>
      <x:c r="AF53" s="115"/>
      <x:c r="AG53" s="115"/>
      <x:c r="AH53" s="115"/>
      <x:c r="AI53" s="115"/>
      <x:c r="AJ53" s="115"/>
      <x:c r="AK53" s="115"/>
      <x:c r="AL53" s="115"/>
    </x:row>
    <x:row r="54">
      <x:c r="B54" s="115"/>
      <x:c r="C54" s="115"/>
      <x:c r="D54" s="115"/>
      <x:c r="E54" s="115"/>
      <x:c r="F54" s="115"/>
      <x:c r="G54" s="115"/>
      <x:c r="H54" s="115"/>
      <x:c r="I54" s="115"/>
      <x:c r="J54" s="115"/>
      <x:c r="K54" s="115"/>
      <x:c r="L54" s="115"/>
      <x:c r="M54" s="115"/>
      <x:c r="N54" s="115"/>
      <x:c r="O54" s="115"/>
      <x:c r="P54" s="115"/>
      <x:c r="Q54" s="115"/>
      <x:c r="R54" s="115"/>
      <x:c r="S54" s="115"/>
      <x:c r="T54" s="115"/>
      <x:c r="U54" s="115"/>
      <x:c r="V54" s="115"/>
      <x:c r="W54" s="115"/>
      <x:c r="X54" s="115"/>
      <x:c r="Y54" s="115"/>
      <x:c r="Z54" s="115"/>
      <x:c r="AA54" s="115"/>
      <x:c r="AB54" s="115"/>
      <x:c r="AC54" s="115"/>
      <x:c r="AD54" s="115"/>
      <x:c r="AE54" s="115"/>
      <x:c r="AF54" s="115"/>
      <x:c r="AG54" s="115"/>
      <x:c r="AH54" s="115"/>
      <x:c r="AI54" s="115"/>
      <x:c r="AJ54" s="115"/>
      <x:c r="AK54" s="115"/>
      <x:c r="AL54" s="115"/>
    </x:row>
    <x:row r="55">
      <x:c r="B55" s="115"/>
      <x:c r="C55" s="115"/>
      <x:c r="D55" s="115"/>
      <x:c r="E55" s="115"/>
      <x:c r="F55" s="115"/>
      <x:c r="G55" s="115"/>
      <x:c r="H55" s="115"/>
      <x:c r="I55" s="115"/>
      <x:c r="J55" s="115"/>
      <x:c r="K55" s="115"/>
      <x:c r="L55" s="115"/>
      <x:c r="M55" s="115"/>
      <x:c r="N55" s="115"/>
      <x:c r="O55" s="115"/>
      <x:c r="P55" s="115"/>
      <x:c r="Q55" s="115"/>
      <x:c r="R55" s="115"/>
      <x:c r="S55" s="115"/>
      <x:c r="T55" s="115"/>
      <x:c r="U55" s="115"/>
      <x:c r="V55" s="115"/>
      <x:c r="W55" s="115"/>
      <x:c r="X55" s="115"/>
      <x:c r="Y55" s="115"/>
      <x:c r="Z55" s="115"/>
      <x:c r="AA55" s="115"/>
      <x:c r="AB55" s="115"/>
      <x:c r="AC55" s="115"/>
      <x:c r="AD55" s="115"/>
      <x:c r="AE55" s="115"/>
      <x:c r="AF55" s="115"/>
      <x:c r="AG55" s="115"/>
      <x:c r="AH55" s="115"/>
      <x:c r="AI55" s="115"/>
      <x:c r="AJ55" s="115"/>
      <x:c r="AK55" s="115"/>
      <x:c r="AL55" s="115"/>
    </x:row>
    <x:row r="56">
      <x:c r="B56" s="115"/>
      <x:c r="C56" s="115"/>
      <x:c r="D56" s="115"/>
      <x:c r="E56" s="115"/>
      <x:c r="F56" s="115"/>
      <x:c r="G56" s="115"/>
      <x:c r="H56" s="115"/>
      <x:c r="I56" s="115"/>
      <x:c r="J56" s="115"/>
      <x:c r="K56" s="115"/>
      <x:c r="L56" s="115"/>
      <x:c r="M56" s="115"/>
      <x:c r="N56" s="115"/>
      <x:c r="O56" s="115"/>
      <x:c r="P56" s="115"/>
      <x:c r="Q56" s="115"/>
      <x:c r="R56" s="115"/>
      <x:c r="S56" s="115"/>
      <x:c r="T56" s="115"/>
      <x:c r="U56" s="115"/>
      <x:c r="V56" s="115"/>
      <x:c r="W56" s="115"/>
      <x:c r="X56" s="115"/>
      <x:c r="Y56" s="115"/>
      <x:c r="Z56" s="115"/>
      <x:c r="AA56" s="115"/>
      <x:c r="AB56" s="115"/>
      <x:c r="AC56" s="115"/>
      <x:c r="AD56" s="115"/>
      <x:c r="AE56" s="115"/>
      <x:c r="AF56" s="115"/>
      <x:c r="AG56" s="115"/>
      <x:c r="AH56" s="115"/>
      <x:c r="AI56" s="115"/>
      <x:c r="AJ56" s="115"/>
      <x:c r="AK56" s="115"/>
      <x:c r="AL56" s="115"/>
    </x:row>
    <x:row r="57">
      <x:c r="B57" s="115"/>
      <x:c r="C57" s="115"/>
      <x:c r="D57" s="115"/>
      <x:c r="E57" s="115"/>
      <x:c r="F57" s="115"/>
      <x:c r="G57" s="115"/>
      <x:c r="H57" s="115"/>
      <x:c r="I57" s="115"/>
      <x:c r="J57" s="115"/>
      <x:c r="K57" s="115"/>
      <x:c r="L57" s="115"/>
      <x:c r="M57" s="115"/>
      <x:c r="N57" s="115"/>
      <x:c r="O57" s="115"/>
      <x:c r="P57" s="115"/>
      <x:c r="Q57" s="115"/>
      <x:c r="R57" s="115"/>
      <x:c r="S57" s="115"/>
      <x:c r="T57" s="115"/>
      <x:c r="U57" s="115"/>
      <x:c r="V57" s="115"/>
      <x:c r="W57" s="115"/>
      <x:c r="X57" s="115"/>
      <x:c r="Y57" s="115"/>
      <x:c r="Z57" s="115"/>
      <x:c r="AA57" s="115"/>
      <x:c r="AB57" s="115"/>
      <x:c r="AC57" s="115"/>
      <x:c r="AD57" s="115"/>
      <x:c r="AE57" s="115"/>
      <x:c r="AF57" s="115"/>
      <x:c r="AG57" s="115"/>
      <x:c r="AH57" s="115"/>
      <x:c r="AI57" s="115"/>
      <x:c r="AJ57" s="115"/>
      <x:c r="AK57" s="115"/>
      <x:c r="AL57" s="115"/>
    </x:row>
    <x:row r="58">
      <x:c r="B58" s="115"/>
      <x:c r="C58" s="115"/>
      <x:c r="D58" s="115"/>
      <x:c r="E58" s="115"/>
      <x:c r="F58" s="115"/>
      <x:c r="G58" s="115"/>
      <x:c r="H58" s="115"/>
      <x:c r="I58" s="115"/>
      <x:c r="J58" s="115"/>
      <x:c r="K58" s="115"/>
      <x:c r="L58" s="115"/>
      <x:c r="M58" s="115"/>
      <x:c r="N58" s="115"/>
      <x:c r="O58" s="115"/>
      <x:c r="P58" s="115"/>
      <x:c r="Q58" s="115"/>
      <x:c r="R58" s="115"/>
      <x:c r="S58" s="115"/>
      <x:c r="T58" s="115"/>
      <x:c r="U58" s="115"/>
      <x:c r="V58" s="115"/>
      <x:c r="W58" s="115"/>
      <x:c r="X58" s="115"/>
      <x:c r="Y58" s="115"/>
      <x:c r="Z58" s="115"/>
      <x:c r="AA58" s="115"/>
      <x:c r="AB58" s="115"/>
      <x:c r="AC58" s="115"/>
      <x:c r="AD58" s="115"/>
      <x:c r="AE58" s="115"/>
      <x:c r="AF58" s="115"/>
      <x:c r="AG58" s="115"/>
      <x:c r="AH58" s="115"/>
      <x:c r="AI58" s="115"/>
      <x:c r="AJ58" s="115"/>
      <x:c r="AK58" s="115"/>
      <x:c r="AL58" s="115"/>
    </x:row>
    <x:row r="59">
      <x:c r="B59" s="115"/>
      <x:c r="C59" s="115"/>
      <x:c r="D59" s="115"/>
      <x:c r="E59" s="115"/>
      <x:c r="F59" s="115"/>
      <x:c r="G59" s="115"/>
      <x:c r="H59" s="115"/>
      <x:c r="I59" s="115"/>
      <x:c r="J59" s="115"/>
      <x:c r="K59" s="115"/>
      <x:c r="L59" s="115"/>
      <x:c r="M59" s="115"/>
      <x:c r="N59" s="115"/>
      <x:c r="O59" s="115"/>
      <x:c r="P59" s="115"/>
      <x:c r="Q59" s="115"/>
      <x:c r="R59" s="115"/>
      <x:c r="S59" s="115"/>
      <x:c r="T59" s="115"/>
      <x:c r="U59" s="115"/>
      <x:c r="V59" s="115"/>
      <x:c r="W59" s="115"/>
      <x:c r="X59" s="115"/>
      <x:c r="Y59" s="115"/>
      <x:c r="Z59" s="115"/>
      <x:c r="AA59" s="115"/>
      <x:c r="AB59" s="115"/>
      <x:c r="AC59" s="115"/>
      <x:c r="AD59" s="115"/>
      <x:c r="AE59" s="115"/>
      <x:c r="AF59" s="115"/>
      <x:c r="AG59" s="115"/>
      <x:c r="AH59" s="115"/>
      <x:c r="AI59" s="115"/>
      <x:c r="AJ59" s="115"/>
      <x:c r="AK59" s="115"/>
      <x:c r="AL59" s="115"/>
    </x:row>
    <x:row r="60">
      <x:c r="B60" s="115"/>
      <x:c r="C60" s="115"/>
      <x:c r="D60" s="115"/>
      <x:c r="E60" s="115"/>
      <x:c r="F60" s="115"/>
      <x:c r="G60" s="115"/>
      <x:c r="H60" s="115"/>
      <x:c r="I60" s="115"/>
      <x:c r="J60" s="115"/>
      <x:c r="K60" s="115"/>
      <x:c r="L60" s="115"/>
      <x:c r="M60" s="115"/>
      <x:c r="N60" s="115"/>
      <x:c r="O60" s="115"/>
      <x:c r="P60" s="115"/>
      <x:c r="Q60" s="115"/>
      <x:c r="R60" s="115"/>
      <x:c r="S60" s="115"/>
      <x:c r="T60" s="115"/>
      <x:c r="U60" s="115"/>
      <x:c r="V60" s="115"/>
      <x:c r="W60" s="115"/>
      <x:c r="X60" s="115"/>
      <x:c r="Y60" s="115"/>
      <x:c r="Z60" s="115"/>
      <x:c r="AA60" s="115"/>
      <x:c r="AB60" s="115"/>
      <x:c r="AC60" s="115"/>
      <x:c r="AD60" s="115"/>
      <x:c r="AE60" s="115"/>
      <x:c r="AF60" s="115"/>
      <x:c r="AG60" s="115"/>
      <x:c r="AH60" s="115"/>
      <x:c r="AI60" s="115"/>
      <x:c r="AJ60" s="115"/>
      <x:c r="AK60" s="115"/>
      <x:c r="AL60" s="115"/>
    </x:row>
    <x:row r="61">
      <x:c r="B61" s="115"/>
      <x:c r="C61" s="115"/>
      <x:c r="D61" s="115"/>
      <x:c r="E61" s="115"/>
      <x:c r="F61" s="115"/>
      <x:c r="G61" s="115"/>
      <x:c r="H61" s="115"/>
      <x:c r="I61" s="115"/>
      <x:c r="J61" s="115"/>
      <x:c r="K61" s="115"/>
      <x:c r="L61" s="115"/>
      <x:c r="M61" s="115"/>
      <x:c r="N61" s="115"/>
      <x:c r="O61" s="115"/>
      <x:c r="P61" s="115"/>
      <x:c r="Q61" s="115"/>
      <x:c r="R61" s="115"/>
      <x:c r="S61" s="115"/>
      <x:c r="T61" s="115"/>
      <x:c r="U61" s="115"/>
      <x:c r="V61" s="115"/>
      <x:c r="W61" s="115"/>
      <x:c r="X61" s="115"/>
      <x:c r="Y61" s="115"/>
      <x:c r="Z61" s="115"/>
      <x:c r="AA61" s="115"/>
      <x:c r="AB61" s="115"/>
      <x:c r="AC61" s="115"/>
      <x:c r="AD61" s="115"/>
      <x:c r="AE61" s="115"/>
      <x:c r="AF61" s="115"/>
      <x:c r="AG61" s="115"/>
      <x:c r="AH61" s="115"/>
      <x:c r="AI61" s="115"/>
      <x:c r="AJ61" s="115"/>
      <x:c r="AK61" s="115"/>
      <x:c r="AL61" s="115"/>
    </x:row>
    <x:row r="62">
      <x:c r="B62" s="115"/>
      <x:c r="C62" s="115"/>
      <x:c r="D62" s="115"/>
      <x:c r="E62" s="115"/>
      <x:c r="F62" s="115"/>
      <x:c r="G62" s="115"/>
      <x:c r="H62" s="115"/>
      <x:c r="I62" s="115"/>
      <x:c r="J62" s="115"/>
      <x:c r="K62" s="115"/>
      <x:c r="L62" s="115"/>
      <x:c r="M62" s="115"/>
      <x:c r="N62" s="115"/>
      <x:c r="O62" s="115"/>
      <x:c r="P62" s="115"/>
      <x:c r="Q62" s="115"/>
      <x:c r="R62" s="115"/>
      <x:c r="S62" s="115"/>
      <x:c r="T62" s="115"/>
      <x:c r="U62" s="115"/>
      <x:c r="V62" s="115"/>
      <x:c r="W62" s="115"/>
      <x:c r="X62" s="115"/>
      <x:c r="Y62" s="115"/>
      <x:c r="Z62" s="115"/>
      <x:c r="AA62" s="115"/>
      <x:c r="AB62" s="115"/>
      <x:c r="AC62" s="115"/>
      <x:c r="AD62" s="115"/>
      <x:c r="AE62" s="115"/>
      <x:c r="AF62" s="115"/>
      <x:c r="AG62" s="115"/>
      <x:c r="AH62" s="115"/>
      <x:c r="AI62" s="115"/>
      <x:c r="AJ62" s="115"/>
      <x:c r="AK62" s="115"/>
      <x:c r="AL62" s="115"/>
    </x:row>
    <x:row r="63">
      <x:c r="B63" s="115"/>
      <x:c r="C63" s="115"/>
      <x:c r="D63" s="115"/>
      <x:c r="E63" s="115"/>
      <x:c r="F63" s="115"/>
      <x:c r="G63" s="115"/>
      <x:c r="H63" s="115"/>
      <x:c r="I63" s="115"/>
      <x:c r="J63" s="115"/>
      <x:c r="K63" s="115"/>
      <x:c r="L63" s="115"/>
      <x:c r="M63" s="115"/>
      <x:c r="N63" s="115"/>
      <x:c r="O63" s="115"/>
      <x:c r="P63" s="115"/>
      <x:c r="Q63" s="115"/>
      <x:c r="R63" s="115"/>
      <x:c r="S63" s="115"/>
      <x:c r="T63" s="115"/>
      <x:c r="U63" s="115"/>
      <x:c r="V63" s="115"/>
      <x:c r="W63" s="115"/>
      <x:c r="X63" s="115"/>
      <x:c r="Y63" s="115"/>
      <x:c r="Z63" s="115"/>
      <x:c r="AA63" s="115"/>
      <x:c r="AB63" s="115"/>
      <x:c r="AC63" s="115"/>
      <x:c r="AD63" s="115"/>
      <x:c r="AE63" s="115"/>
      <x:c r="AF63" s="115"/>
      <x:c r="AG63" s="115"/>
      <x:c r="AH63" s="115"/>
      <x:c r="AI63" s="115"/>
      <x:c r="AJ63" s="115"/>
      <x:c r="AK63" s="115"/>
      <x:c r="AL63" s="115"/>
    </x:row>
    <x:row r="64">
      <x:c r="B64" s="115"/>
      <x:c r="C64" s="115"/>
      <x:c r="D64" s="115"/>
      <x:c r="E64" s="115"/>
      <x:c r="F64" s="115"/>
      <x:c r="G64" s="115"/>
      <x:c r="H64" s="115"/>
      <x:c r="I64" s="115"/>
      <x:c r="J64" s="115"/>
      <x:c r="K64" s="115"/>
      <x:c r="L64" s="115"/>
      <x:c r="M64" s="115"/>
      <x:c r="N64" s="115"/>
      <x:c r="O64" s="115"/>
      <x:c r="P64" s="115"/>
      <x:c r="Q64" s="115"/>
      <x:c r="R64" s="115"/>
      <x:c r="S64" s="115"/>
      <x:c r="T64" s="115"/>
      <x:c r="U64" s="115"/>
      <x:c r="V64" s="115"/>
      <x:c r="W64" s="115"/>
      <x:c r="X64" s="115"/>
      <x:c r="Y64" s="115"/>
      <x:c r="Z64" s="115"/>
      <x:c r="AA64" s="115"/>
      <x:c r="AB64" s="115"/>
      <x:c r="AC64" s="115"/>
      <x:c r="AD64" s="115"/>
      <x:c r="AE64" s="115"/>
      <x:c r="AF64" s="115"/>
      <x:c r="AG64" s="115"/>
      <x:c r="AH64" s="115"/>
      <x:c r="AI64" s="115"/>
      <x:c r="AJ64" s="115"/>
      <x:c r="AK64" s="115"/>
      <x:c r="AL64" s="115"/>
    </x:row>
    <x:row r="65">
      <x:c r="B65" s="115"/>
      <x:c r="C65" s="115"/>
      <x:c r="D65" s="115"/>
      <x:c r="E65" s="115"/>
      <x:c r="F65" s="115"/>
      <x:c r="G65" s="115"/>
      <x:c r="H65" s="115"/>
      <x:c r="I65" s="115"/>
      <x:c r="J65" s="115"/>
      <x:c r="K65" s="115"/>
      <x:c r="L65" s="115"/>
      <x:c r="M65" s="115"/>
      <x:c r="N65" s="115"/>
      <x:c r="O65" s="115"/>
      <x:c r="P65" s="115"/>
      <x:c r="Q65" s="115"/>
      <x:c r="R65" s="115"/>
      <x:c r="S65" s="115"/>
      <x:c r="T65" s="115"/>
      <x:c r="U65" s="115"/>
      <x:c r="V65" s="115"/>
      <x:c r="W65" s="115"/>
      <x:c r="X65" s="115"/>
      <x:c r="Y65" s="115"/>
      <x:c r="Z65" s="115"/>
      <x:c r="AA65" s="115"/>
      <x:c r="AB65" s="115"/>
      <x:c r="AC65" s="115"/>
      <x:c r="AD65" s="115"/>
      <x:c r="AE65" s="115"/>
      <x:c r="AF65" s="115"/>
      <x:c r="AG65" s="115"/>
      <x:c r="AH65" s="115"/>
      <x:c r="AI65" s="115"/>
      <x:c r="AJ65" s="115"/>
      <x:c r="AK65" s="115"/>
      <x:c r="AL65" s="115"/>
    </x:row>
    <x:row r="66">
      <x:c r="B66" s="115"/>
      <x:c r="C66" s="115"/>
      <x:c r="D66" s="115"/>
      <x:c r="E66" s="115"/>
      <x:c r="F66" s="115"/>
      <x:c r="G66" s="115"/>
      <x:c r="H66" s="115"/>
      <x:c r="I66" s="115"/>
      <x:c r="J66" s="115"/>
      <x:c r="K66" s="115"/>
      <x:c r="L66" s="115"/>
      <x:c r="M66" s="115"/>
      <x:c r="N66" s="115"/>
      <x:c r="O66" s="115"/>
      <x:c r="P66" s="115"/>
      <x:c r="Q66" s="115"/>
      <x:c r="R66" s="115"/>
      <x:c r="S66" s="115"/>
      <x:c r="T66" s="115"/>
      <x:c r="U66" s="115"/>
      <x:c r="V66" s="115"/>
      <x:c r="W66" s="115"/>
      <x:c r="X66" s="115"/>
      <x:c r="Y66" s="115"/>
      <x:c r="Z66" s="115"/>
      <x:c r="AA66" s="115"/>
      <x:c r="AB66" s="115"/>
      <x:c r="AC66" s="115"/>
      <x:c r="AD66" s="115"/>
      <x:c r="AE66" s="115"/>
      <x:c r="AF66" s="115"/>
      <x:c r="AG66" s="115"/>
      <x:c r="AH66" s="115"/>
      <x:c r="AI66" s="115"/>
      <x:c r="AJ66" s="115"/>
      <x:c r="AK66" s="115"/>
      <x:c r="AL66" s="115"/>
    </x:row>
    <x:row r="67">
      <x:c r="B67" s="115"/>
      <x:c r="C67" s="115"/>
      <x:c r="D67" s="115"/>
      <x:c r="E67" s="115"/>
      <x:c r="F67" s="115"/>
      <x:c r="G67" s="115"/>
      <x:c r="H67" s="115"/>
      <x:c r="I67" s="115"/>
      <x:c r="J67" s="115"/>
      <x:c r="K67" s="115"/>
      <x:c r="L67" s="115"/>
      <x:c r="M67" s="115"/>
      <x:c r="N67" s="115"/>
      <x:c r="O67" s="115"/>
      <x:c r="P67" s="115"/>
      <x:c r="Q67" s="115"/>
      <x:c r="R67" s="115"/>
      <x:c r="S67" s="115"/>
      <x:c r="T67" s="115"/>
      <x:c r="U67" s="115"/>
      <x:c r="V67" s="115"/>
      <x:c r="W67" s="115"/>
      <x:c r="X67" s="115"/>
      <x:c r="Y67" s="115"/>
      <x:c r="Z67" s="115"/>
      <x:c r="AA67" s="115"/>
      <x:c r="AB67" s="115"/>
      <x:c r="AC67" s="115"/>
      <x:c r="AD67" s="115"/>
      <x:c r="AE67" s="115"/>
      <x:c r="AF67" s="115"/>
      <x:c r="AG67" s="115"/>
      <x:c r="AH67" s="115"/>
      <x:c r="AI67" s="115"/>
      <x:c r="AJ67" s="115"/>
      <x:c r="AK67" s="115"/>
      <x:c r="AL67" s="115"/>
    </x:row>
    <x:row r="68">
      <x:c r="B68" s="115"/>
      <x:c r="C68" s="115"/>
      <x:c r="D68" s="115"/>
      <x:c r="E68" s="115"/>
      <x:c r="F68" s="115"/>
      <x:c r="G68" s="115"/>
      <x:c r="H68" s="115"/>
      <x:c r="I68" s="115"/>
      <x:c r="J68" s="115"/>
      <x:c r="K68" s="115"/>
      <x:c r="L68" s="115"/>
      <x:c r="M68" s="115"/>
      <x:c r="N68" s="115"/>
      <x:c r="O68" s="115"/>
      <x:c r="P68" s="115"/>
      <x:c r="Q68" s="115"/>
      <x:c r="R68" s="115"/>
      <x:c r="S68" s="115"/>
      <x:c r="T68" s="115"/>
      <x:c r="U68" s="115"/>
      <x:c r="V68" s="115"/>
      <x:c r="W68" s="115"/>
      <x:c r="X68" s="115"/>
      <x:c r="Y68" s="115"/>
      <x:c r="Z68" s="115"/>
      <x:c r="AA68" s="115"/>
      <x:c r="AB68" s="115"/>
      <x:c r="AC68" s="115"/>
      <x:c r="AD68" s="115"/>
      <x:c r="AE68" s="115"/>
      <x:c r="AF68" s="115"/>
      <x:c r="AG68" s="115"/>
      <x:c r="AH68" s="115"/>
      <x:c r="AI68" s="115"/>
      <x:c r="AJ68" s="115"/>
      <x:c r="AK68" s="115"/>
      <x:c r="AL68" s="115"/>
    </x:row>
    <x:row r="69">
      <x:c r="B69" s="115"/>
      <x:c r="C69" s="115"/>
      <x:c r="D69" s="115"/>
      <x:c r="E69" s="115"/>
      <x:c r="F69" s="115"/>
      <x:c r="G69" s="115"/>
      <x:c r="H69" s="115"/>
      <x:c r="I69" s="115"/>
      <x:c r="J69" s="115"/>
      <x:c r="K69" s="115"/>
      <x:c r="L69" s="115"/>
      <x:c r="M69" s="115"/>
      <x:c r="N69" s="115"/>
      <x:c r="O69" s="115"/>
      <x:c r="P69" s="115"/>
      <x:c r="Q69" s="115"/>
      <x:c r="R69" s="115"/>
      <x:c r="S69" s="115"/>
      <x:c r="T69" s="115"/>
      <x:c r="U69" s="115"/>
      <x:c r="V69" s="115"/>
      <x:c r="W69" s="115"/>
      <x:c r="X69" s="115"/>
      <x:c r="Y69" s="115"/>
      <x:c r="Z69" s="115"/>
      <x:c r="AA69" s="115"/>
      <x:c r="AB69" s="115"/>
      <x:c r="AC69" s="115"/>
      <x:c r="AD69" s="115"/>
      <x:c r="AE69" s="115"/>
      <x:c r="AF69" s="115"/>
      <x:c r="AG69" s="115"/>
      <x:c r="AH69" s="115"/>
      <x:c r="AI69" s="115"/>
      <x:c r="AJ69" s="115"/>
      <x:c r="AK69" s="115"/>
      <x:c r="AL69" s="115"/>
    </x:row>
    <x:row r="70">
      <x:c r="B70" s="115"/>
      <x:c r="C70" s="115"/>
      <x:c r="D70" s="115"/>
      <x:c r="E70" s="115"/>
      <x:c r="F70" s="115"/>
      <x:c r="G70" s="115"/>
      <x:c r="H70" s="115"/>
      <x:c r="I70" s="115"/>
      <x:c r="J70" s="115"/>
      <x:c r="K70" s="115"/>
      <x:c r="L70" s="115"/>
      <x:c r="M70" s="115"/>
      <x:c r="N70" s="115"/>
      <x:c r="O70" s="115"/>
      <x:c r="P70" s="115"/>
      <x:c r="Q70" s="115"/>
      <x:c r="R70" s="115"/>
      <x:c r="S70" s="115"/>
      <x:c r="T70" s="115"/>
      <x:c r="U70" s="115"/>
      <x:c r="V70" s="115"/>
      <x:c r="W70" s="115"/>
      <x:c r="X70" s="115"/>
      <x:c r="Y70" s="115"/>
      <x:c r="Z70" s="115"/>
      <x:c r="AA70" s="115"/>
      <x:c r="AB70" s="115"/>
      <x:c r="AC70" s="115"/>
      <x:c r="AD70" s="115"/>
      <x:c r="AE70" s="115"/>
      <x:c r="AF70" s="115"/>
      <x:c r="AG70" s="115"/>
      <x:c r="AH70" s="115"/>
      <x:c r="AI70" s="115"/>
      <x:c r="AJ70" s="115"/>
      <x:c r="AK70" s="115"/>
      <x:c r="AL70" s="115"/>
    </x:row>
    <x:row r="71">
      <x:c r="B71" s="115"/>
      <x:c r="C71" s="115"/>
      <x:c r="D71" s="115"/>
      <x:c r="E71" s="115"/>
      <x:c r="F71" s="115"/>
      <x:c r="G71" s="115"/>
      <x:c r="H71" s="115"/>
      <x:c r="I71" s="115"/>
      <x:c r="J71" s="115"/>
      <x:c r="K71" s="115"/>
      <x:c r="L71" s="115"/>
      <x:c r="M71" s="115"/>
      <x:c r="N71" s="115"/>
      <x:c r="O71" s="115"/>
      <x:c r="P71" s="115"/>
      <x:c r="Q71" s="115"/>
      <x:c r="R71" s="115"/>
      <x:c r="S71" s="115"/>
      <x:c r="T71" s="115"/>
      <x:c r="U71" s="115"/>
      <x:c r="V71" s="115"/>
      <x:c r="W71" s="115"/>
      <x:c r="X71" s="115"/>
      <x:c r="Y71" s="115"/>
      <x:c r="Z71" s="115"/>
      <x:c r="AA71" s="115"/>
      <x:c r="AB71" s="115"/>
      <x:c r="AC71" s="115"/>
      <x:c r="AD71" s="115"/>
      <x:c r="AE71" s="115"/>
      <x:c r="AF71" s="115"/>
      <x:c r="AG71" s="115"/>
      <x:c r="AH71" s="115"/>
      <x:c r="AI71" s="115"/>
      <x:c r="AJ71" s="115"/>
      <x:c r="AK71" s="115"/>
      <x:c r="AL71" s="115"/>
    </x:row>
    <x:row r="72">
      <x:c r="B72" s="115"/>
      <x:c r="C72" s="115"/>
      <x:c r="D72" s="115"/>
      <x:c r="E72" s="115"/>
      <x:c r="F72" s="115"/>
      <x:c r="G72" s="115"/>
      <x:c r="H72" s="115"/>
      <x:c r="I72" s="115"/>
      <x:c r="J72" s="115"/>
      <x:c r="K72" s="115"/>
      <x:c r="L72" s="115"/>
      <x:c r="M72" s="115"/>
      <x:c r="N72" s="115"/>
      <x:c r="O72" s="115"/>
      <x:c r="P72" s="115"/>
      <x:c r="Q72" s="115"/>
      <x:c r="R72" s="115"/>
      <x:c r="S72" s="115"/>
      <x:c r="T72" s="115"/>
      <x:c r="U72" s="115"/>
      <x:c r="V72" s="115"/>
      <x:c r="W72" s="115"/>
      <x:c r="X72" s="115"/>
      <x:c r="Y72" s="115"/>
      <x:c r="Z72" s="115"/>
      <x:c r="AA72" s="115"/>
      <x:c r="AB72" s="115"/>
      <x:c r="AC72" s="115"/>
      <x:c r="AD72" s="115"/>
      <x:c r="AE72" s="115"/>
      <x:c r="AF72" s="115"/>
      <x:c r="AG72" s="115"/>
      <x:c r="AH72" s="115"/>
      <x:c r="AI72" s="115"/>
      <x:c r="AJ72" s="115"/>
      <x:c r="AK72" s="115"/>
      <x:c r="AL72" s="115"/>
    </x:row>
    <x:row r="73">
      <x:c r="B73" s="115"/>
      <x:c r="C73" s="115"/>
      <x:c r="D73" s="115"/>
      <x:c r="E73" s="115"/>
      <x:c r="F73" s="115"/>
      <x:c r="G73" s="115"/>
      <x:c r="H73" s="115"/>
      <x:c r="I73" s="115"/>
      <x:c r="J73" s="115"/>
      <x:c r="K73" s="115"/>
      <x:c r="L73" s="115"/>
      <x:c r="M73" s="115"/>
      <x:c r="N73" s="115"/>
      <x:c r="O73" s="115"/>
      <x:c r="P73" s="115"/>
      <x:c r="Q73" s="115"/>
      <x:c r="R73" s="115"/>
      <x:c r="S73" s="115"/>
      <x:c r="T73" s="115"/>
      <x:c r="U73" s="115"/>
      <x:c r="V73" s="115"/>
      <x:c r="W73" s="115"/>
      <x:c r="X73" s="115"/>
      <x:c r="Y73" s="115"/>
      <x:c r="Z73" s="115"/>
      <x:c r="AA73" s="115"/>
      <x:c r="AB73" s="115"/>
      <x:c r="AC73" s="115"/>
      <x:c r="AD73" s="115"/>
      <x:c r="AE73" s="115"/>
      <x:c r="AF73" s="115"/>
      <x:c r="AG73" s="115"/>
      <x:c r="AH73" s="115"/>
      <x:c r="AI73" s="115"/>
      <x:c r="AJ73" s="115"/>
      <x:c r="AK73" s="115"/>
      <x:c r="AL73" s="115"/>
    </x:row>
    <x:row r="74">
      <x:c r="B74" s="115"/>
      <x:c r="C74" s="115"/>
      <x:c r="D74" s="115"/>
      <x:c r="E74" s="115"/>
      <x:c r="F74" s="115"/>
      <x:c r="G74" s="115"/>
      <x:c r="H74" s="115"/>
      <x:c r="I74" s="115"/>
      <x:c r="J74" s="115"/>
      <x:c r="K74" s="115"/>
      <x:c r="L74" s="115"/>
      <x:c r="M74" s="115"/>
      <x:c r="N74" s="115"/>
      <x:c r="O74" s="115"/>
      <x:c r="P74" s="115"/>
      <x:c r="Q74" s="115"/>
      <x:c r="R74" s="115"/>
      <x:c r="S74" s="115"/>
      <x:c r="T74" s="115"/>
      <x:c r="U74" s="115"/>
      <x:c r="V74" s="115"/>
      <x:c r="W74" s="115"/>
      <x:c r="X74" s="115"/>
      <x:c r="Y74" s="115"/>
      <x:c r="Z74" s="115"/>
      <x:c r="AA74" s="115"/>
      <x:c r="AB74" s="115"/>
      <x:c r="AC74" s="115"/>
      <x:c r="AD74" s="115"/>
      <x:c r="AE74" s="115"/>
      <x:c r="AF74" s="115"/>
      <x:c r="AG74" s="115"/>
      <x:c r="AH74" s="115"/>
      <x:c r="AI74" s="115"/>
      <x:c r="AJ74" s="115"/>
      <x:c r="AK74" s="115"/>
      <x:c r="AL74" s="115"/>
    </x:row>
    <x:row r="75">
      <x:c r="B75" s="115"/>
      <x:c r="C75" s="115"/>
      <x:c r="D75" s="115"/>
      <x:c r="E75" s="115"/>
      <x:c r="F75" s="115"/>
      <x:c r="G75" s="115"/>
      <x:c r="H75" s="115"/>
      <x:c r="I75" s="115"/>
      <x:c r="J75" s="115"/>
      <x:c r="K75" s="115"/>
      <x:c r="L75" s="115"/>
      <x:c r="M75" s="115"/>
      <x:c r="N75" s="115"/>
      <x:c r="O75" s="115"/>
      <x:c r="P75" s="115"/>
      <x:c r="Q75" s="115"/>
      <x:c r="R75" s="115"/>
      <x:c r="S75" s="115"/>
      <x:c r="T75" s="115"/>
      <x:c r="U75" s="115"/>
      <x:c r="V75" s="115"/>
      <x:c r="W75" s="115"/>
      <x:c r="X75" s="115"/>
      <x:c r="Y75" s="115"/>
      <x:c r="Z75" s="115"/>
      <x:c r="AA75" s="115"/>
      <x:c r="AB75" s="115"/>
      <x:c r="AC75" s="115"/>
      <x:c r="AD75" s="115"/>
      <x:c r="AE75" s="115"/>
      <x:c r="AF75" s="115"/>
      <x:c r="AG75" s="115"/>
      <x:c r="AH75" s="115"/>
      <x:c r="AI75" s="115"/>
      <x:c r="AJ75" s="115"/>
      <x:c r="AK75" s="115"/>
      <x:c r="AL75" s="115"/>
    </x:row>
    <x:row r="76">
      <x:c r="B76" s="115"/>
      <x:c r="C76" s="115"/>
      <x:c r="D76" s="115"/>
      <x:c r="E76" s="115"/>
      <x:c r="F76" s="115"/>
      <x:c r="G76" s="115"/>
      <x:c r="H76" s="115"/>
      <x:c r="I76" s="115"/>
      <x:c r="J76" s="115"/>
      <x:c r="K76" s="115"/>
      <x:c r="L76" s="115"/>
      <x:c r="M76" s="115"/>
      <x:c r="N76" s="115"/>
      <x:c r="O76" s="115"/>
      <x:c r="P76" s="115"/>
      <x:c r="Q76" s="115"/>
      <x:c r="R76" s="115"/>
      <x:c r="S76" s="115"/>
      <x:c r="T76" s="115"/>
      <x:c r="U76" s="115"/>
      <x:c r="V76" s="115"/>
      <x:c r="W76" s="115"/>
      <x:c r="X76" s="115"/>
      <x:c r="Y76" s="115"/>
      <x:c r="Z76" s="115"/>
      <x:c r="AA76" s="115"/>
      <x:c r="AB76" s="115"/>
      <x:c r="AC76" s="115"/>
      <x:c r="AD76" s="115"/>
      <x:c r="AE76" s="115"/>
      <x:c r="AF76" s="115"/>
      <x:c r="AG76" s="115"/>
      <x:c r="AH76" s="115"/>
      <x:c r="AI76" s="115"/>
      <x:c r="AJ76" s="115"/>
      <x:c r="AK76" s="115"/>
      <x:c r="AL76" s="115"/>
    </x:row>
    <x:row r="77">
      <x:c r="B77" s="115"/>
      <x:c r="C77" s="115"/>
      <x:c r="D77" s="115"/>
      <x:c r="E77" s="115"/>
      <x:c r="F77" s="115"/>
      <x:c r="G77" s="115"/>
      <x:c r="H77" s="115"/>
      <x:c r="I77" s="115"/>
      <x:c r="J77" s="115"/>
      <x:c r="K77" s="115"/>
      <x:c r="L77" s="115"/>
      <x:c r="M77" s="115"/>
      <x:c r="N77" s="115"/>
      <x:c r="O77" s="115"/>
      <x:c r="P77" s="115"/>
      <x:c r="Q77" s="115"/>
      <x:c r="R77" s="115"/>
      <x:c r="S77" s="115"/>
      <x:c r="T77" s="115"/>
      <x:c r="U77" s="115"/>
      <x:c r="V77" s="115"/>
      <x:c r="W77" s="115"/>
      <x:c r="X77" s="115"/>
      <x:c r="Y77" s="115"/>
      <x:c r="Z77" s="115"/>
      <x:c r="AA77" s="115"/>
      <x:c r="AB77" s="115"/>
      <x:c r="AC77" s="115"/>
      <x:c r="AD77" s="115"/>
      <x:c r="AE77" s="115"/>
      <x:c r="AF77" s="115"/>
      <x:c r="AG77" s="115"/>
      <x:c r="AH77" s="115"/>
      <x:c r="AI77" s="115"/>
      <x:c r="AJ77" s="115"/>
      <x:c r="AK77" s="115"/>
      <x:c r="AL77" s="115"/>
    </x:row>
    <x:row r="78">
      <x:c r="B78" s="115"/>
      <x:c r="C78" s="115"/>
      <x:c r="D78" s="115"/>
      <x:c r="E78" s="115"/>
      <x:c r="F78" s="115"/>
      <x:c r="G78" s="115"/>
      <x:c r="H78" s="115"/>
      <x:c r="I78" s="115"/>
      <x:c r="J78" s="115"/>
      <x:c r="K78" s="115"/>
      <x:c r="L78" s="115"/>
      <x:c r="M78" s="115"/>
      <x:c r="N78" s="115"/>
      <x:c r="O78" s="115"/>
      <x:c r="P78" s="115"/>
      <x:c r="Q78" s="115"/>
      <x:c r="R78" s="115"/>
      <x:c r="S78" s="115"/>
      <x:c r="T78" s="115"/>
      <x:c r="U78" s="115"/>
      <x:c r="V78" s="115"/>
      <x:c r="W78" s="115"/>
      <x:c r="X78" s="115"/>
      <x:c r="Y78" s="115"/>
      <x:c r="Z78" s="115"/>
      <x:c r="AA78" s="115"/>
      <x:c r="AB78" s="115"/>
      <x:c r="AC78" s="115"/>
      <x:c r="AD78" s="115"/>
      <x:c r="AE78" s="115"/>
      <x:c r="AF78" s="115"/>
      <x:c r="AG78" s="115"/>
      <x:c r="AH78" s="115"/>
      <x:c r="AI78" s="115"/>
      <x:c r="AJ78" s="115"/>
      <x:c r="AK78" s="115"/>
      <x:c r="AL78" s="115"/>
    </x:row>
    <x:row r="79">
      <x:c r="B79" s="115"/>
      <x:c r="C79" s="115"/>
      <x:c r="D79" s="115"/>
      <x:c r="E79" s="115"/>
      <x:c r="F79" s="115"/>
      <x:c r="G79" s="115"/>
      <x:c r="H79" s="115"/>
      <x:c r="I79" s="115"/>
      <x:c r="J79" s="115"/>
      <x:c r="K79" s="115"/>
      <x:c r="L79" s="115"/>
      <x:c r="M79" s="115"/>
      <x:c r="N79" s="115"/>
      <x:c r="O79" s="115"/>
      <x:c r="P79" s="115"/>
      <x:c r="Q79" s="115"/>
      <x:c r="R79" s="115"/>
      <x:c r="S79" s="115"/>
      <x:c r="T79" s="115"/>
      <x:c r="U79" s="115"/>
      <x:c r="V79" s="115"/>
      <x:c r="W79" s="115"/>
      <x:c r="X79" s="115"/>
      <x:c r="Y79" s="115"/>
      <x:c r="Z79" s="115"/>
      <x:c r="AA79" s="115"/>
      <x:c r="AB79" s="115"/>
      <x:c r="AC79" s="115"/>
      <x:c r="AD79" s="115"/>
      <x:c r="AE79" s="115"/>
      <x:c r="AF79" s="115"/>
      <x:c r="AG79" s="115"/>
      <x:c r="AH79" s="115"/>
      <x:c r="AI79" s="115"/>
      <x:c r="AJ79" s="115"/>
      <x:c r="AK79" s="115"/>
      <x:c r="AL79" s="115"/>
    </x:row>
    <x:row r="80">
      <x:c r="B80" s="115"/>
      <x:c r="C80" s="115"/>
      <x:c r="D80" s="115"/>
      <x:c r="E80" s="115"/>
      <x:c r="F80" s="115"/>
      <x:c r="G80" s="115"/>
      <x:c r="H80" s="115"/>
      <x:c r="I80" s="115"/>
      <x:c r="J80" s="115"/>
      <x:c r="K80" s="115"/>
      <x:c r="L80" s="115"/>
      <x:c r="M80" s="115"/>
      <x:c r="N80" s="115"/>
      <x:c r="O80" s="115"/>
      <x:c r="P80" s="115"/>
      <x:c r="Q80" s="115"/>
      <x:c r="R80" s="115"/>
      <x:c r="S80" s="115"/>
      <x:c r="T80" s="115"/>
      <x:c r="U80" s="115"/>
      <x:c r="V80" s="115"/>
      <x:c r="W80" s="115"/>
      <x:c r="X80" s="115"/>
      <x:c r="Y80" s="115"/>
      <x:c r="Z80" s="115"/>
      <x:c r="AA80" s="115"/>
      <x:c r="AB80" s="115"/>
      <x:c r="AC80" s="115"/>
      <x:c r="AD80" s="115"/>
      <x:c r="AE80" s="115"/>
      <x:c r="AF80" s="115"/>
      <x:c r="AG80" s="115"/>
      <x:c r="AH80" s="115"/>
      <x:c r="AI80" s="115"/>
      <x:c r="AJ80" s="115"/>
      <x:c r="AK80" s="115"/>
      <x:c r="AL80" s="115"/>
    </x:row>
  </x:sheetData>
  <x:mergeCells>
    <x:mergeCell ref="B2:E2"/>
    <x:mergeCell ref="B3:E5"/>
  </x:mergeCells>
  <x:pageMargins left="0.7" right="0.7" top="0.75" bottom="0.75" header="0.3" footer="0.3"/>
</x:worksheet>
</file>